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480" yWindow="210" windowWidth="11340" windowHeight="6345" activeTab="0"/>
  </bookViews>
  <sheets>
    <sheet name="Formular" sheetId="1" r:id="rId1"/>
    <sheet name="Eingabe" sheetId="2" r:id="rId2"/>
    <sheet name="Hilfe_Ausmale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<sst xmlns="http://schemas.openxmlformats.org/spreadsheetml/2006/main" count="120" uniqueCount="52">
  <si>
    <t>Titel</t>
  </si>
  <si>
    <t>Titel rechts</t>
  </si>
  <si>
    <t>Datum und Zeit</t>
  </si>
  <si>
    <t>Ausrichter</t>
  </si>
  <si>
    <t>Nr</t>
  </si>
  <si>
    <t>Name</t>
  </si>
  <si>
    <t>Verein</t>
  </si>
  <si>
    <t>GD</t>
  </si>
  <si>
    <t>Kurzname</t>
  </si>
  <si>
    <t>Los</t>
  </si>
  <si>
    <t>GD-Format</t>
  </si>
  <si>
    <t>Faktor</t>
  </si>
  <si>
    <t>Nr.</t>
  </si>
  <si>
    <t>Nr1</t>
  </si>
  <si>
    <t>Nr2</t>
  </si>
  <si>
    <t>Name1</t>
  </si>
  <si>
    <t>Name2</t>
  </si>
  <si>
    <t>B</t>
  </si>
  <si>
    <t>A</t>
  </si>
  <si>
    <t>HS</t>
  </si>
  <si>
    <t>Key1</t>
  </si>
  <si>
    <t>Key2</t>
  </si>
  <si>
    <t>Key</t>
  </si>
  <si>
    <t>D</t>
  </si>
  <si>
    <t>Punkte</t>
  </si>
  <si>
    <t>Punkte1</t>
  </si>
  <si>
    <t>Punkte2</t>
  </si>
  <si>
    <t>BED bisher</t>
  </si>
  <si>
    <t>Pkt.</t>
  </si>
  <si>
    <t>BED</t>
  </si>
  <si>
    <t>Mpkt.</t>
  </si>
  <si>
    <t>Sort</t>
  </si>
  <si>
    <t>Pl.</t>
  </si>
  <si>
    <t>Wer</t>
  </si>
  <si>
    <t>Disziplin</t>
  </si>
  <si>
    <t>Datum</t>
  </si>
  <si>
    <t>Bälle</t>
  </si>
  <si>
    <t>Aufn.</t>
  </si>
  <si>
    <t>Platz</t>
  </si>
  <si>
    <t>V+GD</t>
  </si>
  <si>
    <t>Alle Eingaben (außer den Mitteilungen des Turnierleiters und der Spieler) nur auf dieser Seite!</t>
  </si>
  <si>
    <t>Nachkommastellen</t>
  </si>
  <si>
    <t>Disziplin/Klasse/Distanz</t>
  </si>
  <si>
    <t>Billardverband Niederrhein e.V.</t>
  </si>
  <si>
    <t>BSV Velbert e.V.</t>
  </si>
  <si>
    <t>01.09.-05.09.2015</t>
  </si>
  <si>
    <t>GRUPPE C</t>
  </si>
  <si>
    <t>Dreiband - 30 Bälle / 50 Aufnahmen</t>
  </si>
  <si>
    <t>1. Bundespokal der Senioren Dreiband</t>
  </si>
  <si>
    <t>Gewonnen</t>
  </si>
  <si>
    <t>Verloren</t>
  </si>
  <si>
    <t>Unendschieden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</si>
</sst>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0"/>
    <numFmt numFmtId="175" formatCode="0.0000"/>
  </numFmts>
  <fonts count="2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24" borderId="0" xfId="0" applyFill="1" applyAlignment="1" applyProtection="1">
      <alignment/>
      <protection locked="0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2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" fontId="0" fillId="0" borderId="21" xfId="0" applyNumberFormat="1" applyFont="1" applyBorder="1" applyAlignment="1" applyProtection="1">
      <alignment horizontal="left" vertical="top"/>
      <protection/>
    </xf>
    <xf numFmtId="0" fontId="0" fillId="0" borderId="22" xfId="0" applyFont="1" applyBorder="1" applyAlignment="1" applyProtection="1">
      <alignment horizontal="right" vertical="top"/>
      <protection/>
    </xf>
    <xf numFmtId="2" fontId="0" fillId="0" borderId="23" xfId="0" applyNumberFormat="1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2" fontId="0" fillId="0" borderId="24" xfId="0" applyNumberFormat="1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left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/>
      <protection/>
    </xf>
    <xf numFmtId="2" fontId="0" fillId="0" borderId="0" xfId="0" applyNumberFormat="1" applyAlignment="1">
      <alignment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0" borderId="29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30" xfId="0" applyFont="1" applyBorder="1" applyAlignment="1" applyProtection="1">
      <alignment horizontal="center" vertical="center"/>
      <protection/>
    </xf>
    <xf numFmtId="0" fontId="25" fillId="0" borderId="28" xfId="0" applyFont="1" applyBorder="1" applyAlignment="1" applyProtection="1">
      <alignment horizontal="center" vertical="center"/>
      <protection/>
    </xf>
    <xf numFmtId="0" fontId="25" fillId="0" borderId="31" xfId="0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25" fillId="0" borderId="32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12</xdr:row>
      <xdr:rowOff>142875</xdr:rowOff>
    </xdr:from>
    <xdr:to>
      <xdr:col>4</xdr:col>
      <xdr:colOff>85725</xdr:colOff>
      <xdr:row>13</xdr:row>
      <xdr:rowOff>85725</xdr:rowOff>
    </xdr:to>
    <xdr:sp>
      <xdr:nvSpPr>
        <xdr:cNvPr id="1" name="Ell12"/>
        <xdr:cNvSpPr>
          <a:spLocks/>
        </xdr:cNvSpPr>
      </xdr:nvSpPr>
      <xdr:spPr>
        <a:xfrm>
          <a:off x="2476500" y="237172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12</xdr:row>
      <xdr:rowOff>142875</xdr:rowOff>
    </xdr:from>
    <xdr:to>
      <xdr:col>6</xdr:col>
      <xdr:colOff>85725</xdr:colOff>
      <xdr:row>13</xdr:row>
      <xdr:rowOff>85725</xdr:rowOff>
    </xdr:to>
    <xdr:sp>
      <xdr:nvSpPr>
        <xdr:cNvPr id="2" name="Ell13"/>
        <xdr:cNvSpPr>
          <a:spLocks/>
        </xdr:cNvSpPr>
      </xdr:nvSpPr>
      <xdr:spPr>
        <a:xfrm>
          <a:off x="3143250" y="237172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12</xdr:row>
      <xdr:rowOff>142875</xdr:rowOff>
    </xdr:from>
    <xdr:to>
      <xdr:col>8</xdr:col>
      <xdr:colOff>85725</xdr:colOff>
      <xdr:row>13</xdr:row>
      <xdr:rowOff>85725</xdr:rowOff>
    </xdr:to>
    <xdr:sp>
      <xdr:nvSpPr>
        <xdr:cNvPr id="3" name="Ell14"/>
        <xdr:cNvSpPr>
          <a:spLocks/>
        </xdr:cNvSpPr>
      </xdr:nvSpPr>
      <xdr:spPr>
        <a:xfrm>
          <a:off x="3810000" y="237172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12</xdr:row>
      <xdr:rowOff>142875</xdr:rowOff>
    </xdr:from>
    <xdr:to>
      <xdr:col>10</xdr:col>
      <xdr:colOff>85725</xdr:colOff>
      <xdr:row>13</xdr:row>
      <xdr:rowOff>85725</xdr:rowOff>
    </xdr:to>
    <xdr:sp>
      <xdr:nvSpPr>
        <xdr:cNvPr id="4" name="Ell15"/>
        <xdr:cNvSpPr>
          <a:spLocks/>
        </xdr:cNvSpPr>
      </xdr:nvSpPr>
      <xdr:spPr>
        <a:xfrm>
          <a:off x="4476750" y="237172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12</xdr:row>
      <xdr:rowOff>142875</xdr:rowOff>
    </xdr:from>
    <xdr:to>
      <xdr:col>12</xdr:col>
      <xdr:colOff>85725</xdr:colOff>
      <xdr:row>13</xdr:row>
      <xdr:rowOff>85725</xdr:rowOff>
    </xdr:to>
    <xdr:sp>
      <xdr:nvSpPr>
        <xdr:cNvPr id="5" name="Ell16"/>
        <xdr:cNvSpPr>
          <a:spLocks/>
        </xdr:cNvSpPr>
      </xdr:nvSpPr>
      <xdr:spPr>
        <a:xfrm>
          <a:off x="5143500" y="237172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142875</xdr:rowOff>
    </xdr:from>
    <xdr:to>
      <xdr:col>13</xdr:col>
      <xdr:colOff>0</xdr:colOff>
      <xdr:row>13</xdr:row>
      <xdr:rowOff>85725</xdr:rowOff>
    </xdr:to>
    <xdr:sp>
      <xdr:nvSpPr>
        <xdr:cNvPr id="6" name="Ell17"/>
        <xdr:cNvSpPr>
          <a:spLocks/>
        </xdr:cNvSpPr>
      </xdr:nvSpPr>
      <xdr:spPr>
        <a:xfrm>
          <a:off x="5562600" y="237172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14</xdr:row>
      <xdr:rowOff>142875</xdr:rowOff>
    </xdr:from>
    <xdr:to>
      <xdr:col>2</xdr:col>
      <xdr:colOff>85725</xdr:colOff>
      <xdr:row>15</xdr:row>
      <xdr:rowOff>85725</xdr:rowOff>
    </xdr:to>
    <xdr:sp>
      <xdr:nvSpPr>
        <xdr:cNvPr id="7" name="Ell21"/>
        <xdr:cNvSpPr>
          <a:spLocks/>
        </xdr:cNvSpPr>
      </xdr:nvSpPr>
      <xdr:spPr>
        <a:xfrm>
          <a:off x="1809750" y="282892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14</xdr:row>
      <xdr:rowOff>142875</xdr:rowOff>
    </xdr:from>
    <xdr:to>
      <xdr:col>6</xdr:col>
      <xdr:colOff>85725</xdr:colOff>
      <xdr:row>15</xdr:row>
      <xdr:rowOff>85725</xdr:rowOff>
    </xdr:to>
    <xdr:sp>
      <xdr:nvSpPr>
        <xdr:cNvPr id="8" name="Ell23"/>
        <xdr:cNvSpPr>
          <a:spLocks/>
        </xdr:cNvSpPr>
      </xdr:nvSpPr>
      <xdr:spPr>
        <a:xfrm>
          <a:off x="3143250" y="282892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14</xdr:row>
      <xdr:rowOff>142875</xdr:rowOff>
    </xdr:from>
    <xdr:to>
      <xdr:col>8</xdr:col>
      <xdr:colOff>85725</xdr:colOff>
      <xdr:row>15</xdr:row>
      <xdr:rowOff>85725</xdr:rowOff>
    </xdr:to>
    <xdr:sp>
      <xdr:nvSpPr>
        <xdr:cNvPr id="9" name="Ell24"/>
        <xdr:cNvSpPr>
          <a:spLocks/>
        </xdr:cNvSpPr>
      </xdr:nvSpPr>
      <xdr:spPr>
        <a:xfrm>
          <a:off x="3810000" y="282892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14</xdr:row>
      <xdr:rowOff>142875</xdr:rowOff>
    </xdr:from>
    <xdr:to>
      <xdr:col>10</xdr:col>
      <xdr:colOff>85725</xdr:colOff>
      <xdr:row>15</xdr:row>
      <xdr:rowOff>85725</xdr:rowOff>
    </xdr:to>
    <xdr:sp>
      <xdr:nvSpPr>
        <xdr:cNvPr id="10" name="Ell25"/>
        <xdr:cNvSpPr>
          <a:spLocks/>
        </xdr:cNvSpPr>
      </xdr:nvSpPr>
      <xdr:spPr>
        <a:xfrm>
          <a:off x="4476750" y="282892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14</xdr:row>
      <xdr:rowOff>142875</xdr:rowOff>
    </xdr:from>
    <xdr:to>
      <xdr:col>12</xdr:col>
      <xdr:colOff>85725</xdr:colOff>
      <xdr:row>15</xdr:row>
      <xdr:rowOff>85725</xdr:rowOff>
    </xdr:to>
    <xdr:sp>
      <xdr:nvSpPr>
        <xdr:cNvPr id="11" name="Ell26"/>
        <xdr:cNvSpPr>
          <a:spLocks/>
        </xdr:cNvSpPr>
      </xdr:nvSpPr>
      <xdr:spPr>
        <a:xfrm>
          <a:off x="5143500" y="282892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142875</xdr:rowOff>
    </xdr:from>
    <xdr:to>
      <xdr:col>13</xdr:col>
      <xdr:colOff>0</xdr:colOff>
      <xdr:row>15</xdr:row>
      <xdr:rowOff>85725</xdr:rowOff>
    </xdr:to>
    <xdr:sp>
      <xdr:nvSpPr>
        <xdr:cNvPr id="12" name="Ell27"/>
        <xdr:cNvSpPr>
          <a:spLocks/>
        </xdr:cNvSpPr>
      </xdr:nvSpPr>
      <xdr:spPr>
        <a:xfrm>
          <a:off x="5562600" y="282892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16</xdr:row>
      <xdr:rowOff>142875</xdr:rowOff>
    </xdr:from>
    <xdr:to>
      <xdr:col>2</xdr:col>
      <xdr:colOff>85725</xdr:colOff>
      <xdr:row>17</xdr:row>
      <xdr:rowOff>85725</xdr:rowOff>
    </xdr:to>
    <xdr:sp>
      <xdr:nvSpPr>
        <xdr:cNvPr id="13" name="Ell31"/>
        <xdr:cNvSpPr>
          <a:spLocks/>
        </xdr:cNvSpPr>
      </xdr:nvSpPr>
      <xdr:spPr>
        <a:xfrm>
          <a:off x="1809750" y="328612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16</xdr:row>
      <xdr:rowOff>142875</xdr:rowOff>
    </xdr:from>
    <xdr:to>
      <xdr:col>4</xdr:col>
      <xdr:colOff>85725</xdr:colOff>
      <xdr:row>17</xdr:row>
      <xdr:rowOff>85725</xdr:rowOff>
    </xdr:to>
    <xdr:sp>
      <xdr:nvSpPr>
        <xdr:cNvPr id="14" name="Ell32"/>
        <xdr:cNvSpPr>
          <a:spLocks/>
        </xdr:cNvSpPr>
      </xdr:nvSpPr>
      <xdr:spPr>
        <a:xfrm>
          <a:off x="2476500" y="328612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16</xdr:row>
      <xdr:rowOff>142875</xdr:rowOff>
    </xdr:from>
    <xdr:to>
      <xdr:col>8</xdr:col>
      <xdr:colOff>85725</xdr:colOff>
      <xdr:row>17</xdr:row>
      <xdr:rowOff>85725</xdr:rowOff>
    </xdr:to>
    <xdr:sp>
      <xdr:nvSpPr>
        <xdr:cNvPr id="15" name="Ell34"/>
        <xdr:cNvSpPr>
          <a:spLocks/>
        </xdr:cNvSpPr>
      </xdr:nvSpPr>
      <xdr:spPr>
        <a:xfrm>
          <a:off x="3810000" y="328612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16</xdr:row>
      <xdr:rowOff>142875</xdr:rowOff>
    </xdr:from>
    <xdr:to>
      <xdr:col>10</xdr:col>
      <xdr:colOff>85725</xdr:colOff>
      <xdr:row>17</xdr:row>
      <xdr:rowOff>85725</xdr:rowOff>
    </xdr:to>
    <xdr:sp>
      <xdr:nvSpPr>
        <xdr:cNvPr id="16" name="Ell35"/>
        <xdr:cNvSpPr>
          <a:spLocks/>
        </xdr:cNvSpPr>
      </xdr:nvSpPr>
      <xdr:spPr>
        <a:xfrm>
          <a:off x="4476750" y="328612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16</xdr:row>
      <xdr:rowOff>142875</xdr:rowOff>
    </xdr:from>
    <xdr:to>
      <xdr:col>12</xdr:col>
      <xdr:colOff>85725</xdr:colOff>
      <xdr:row>17</xdr:row>
      <xdr:rowOff>85725</xdr:rowOff>
    </xdr:to>
    <xdr:sp>
      <xdr:nvSpPr>
        <xdr:cNvPr id="17" name="Ell36"/>
        <xdr:cNvSpPr>
          <a:spLocks/>
        </xdr:cNvSpPr>
      </xdr:nvSpPr>
      <xdr:spPr>
        <a:xfrm>
          <a:off x="5143500" y="328612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142875</xdr:rowOff>
    </xdr:from>
    <xdr:to>
      <xdr:col>13</xdr:col>
      <xdr:colOff>0</xdr:colOff>
      <xdr:row>17</xdr:row>
      <xdr:rowOff>85725</xdr:rowOff>
    </xdr:to>
    <xdr:sp>
      <xdr:nvSpPr>
        <xdr:cNvPr id="18" name="Ell37"/>
        <xdr:cNvSpPr>
          <a:spLocks/>
        </xdr:cNvSpPr>
      </xdr:nvSpPr>
      <xdr:spPr>
        <a:xfrm>
          <a:off x="5562600" y="328612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142875</xdr:rowOff>
    </xdr:from>
    <xdr:to>
      <xdr:col>2</xdr:col>
      <xdr:colOff>85725</xdr:colOff>
      <xdr:row>19</xdr:row>
      <xdr:rowOff>85725</xdr:rowOff>
    </xdr:to>
    <xdr:sp>
      <xdr:nvSpPr>
        <xdr:cNvPr id="19" name="Ell41"/>
        <xdr:cNvSpPr>
          <a:spLocks/>
        </xdr:cNvSpPr>
      </xdr:nvSpPr>
      <xdr:spPr>
        <a:xfrm>
          <a:off x="1809750" y="374332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18</xdr:row>
      <xdr:rowOff>142875</xdr:rowOff>
    </xdr:from>
    <xdr:to>
      <xdr:col>4</xdr:col>
      <xdr:colOff>85725</xdr:colOff>
      <xdr:row>19</xdr:row>
      <xdr:rowOff>85725</xdr:rowOff>
    </xdr:to>
    <xdr:sp>
      <xdr:nvSpPr>
        <xdr:cNvPr id="20" name="Ell42"/>
        <xdr:cNvSpPr>
          <a:spLocks/>
        </xdr:cNvSpPr>
      </xdr:nvSpPr>
      <xdr:spPr>
        <a:xfrm>
          <a:off x="2476500" y="374332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18</xdr:row>
      <xdr:rowOff>142875</xdr:rowOff>
    </xdr:from>
    <xdr:to>
      <xdr:col>6</xdr:col>
      <xdr:colOff>85725</xdr:colOff>
      <xdr:row>19</xdr:row>
      <xdr:rowOff>85725</xdr:rowOff>
    </xdr:to>
    <xdr:sp>
      <xdr:nvSpPr>
        <xdr:cNvPr id="21" name="Ell43"/>
        <xdr:cNvSpPr>
          <a:spLocks/>
        </xdr:cNvSpPr>
      </xdr:nvSpPr>
      <xdr:spPr>
        <a:xfrm>
          <a:off x="3143250" y="374332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18</xdr:row>
      <xdr:rowOff>142875</xdr:rowOff>
    </xdr:from>
    <xdr:to>
      <xdr:col>10</xdr:col>
      <xdr:colOff>85725</xdr:colOff>
      <xdr:row>19</xdr:row>
      <xdr:rowOff>85725</xdr:rowOff>
    </xdr:to>
    <xdr:sp>
      <xdr:nvSpPr>
        <xdr:cNvPr id="22" name="Ell45"/>
        <xdr:cNvSpPr>
          <a:spLocks/>
        </xdr:cNvSpPr>
      </xdr:nvSpPr>
      <xdr:spPr>
        <a:xfrm>
          <a:off x="4476750" y="374332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18</xdr:row>
      <xdr:rowOff>142875</xdr:rowOff>
    </xdr:from>
    <xdr:to>
      <xdr:col>12</xdr:col>
      <xdr:colOff>85725</xdr:colOff>
      <xdr:row>19</xdr:row>
      <xdr:rowOff>85725</xdr:rowOff>
    </xdr:to>
    <xdr:sp>
      <xdr:nvSpPr>
        <xdr:cNvPr id="23" name="Ell46"/>
        <xdr:cNvSpPr>
          <a:spLocks/>
        </xdr:cNvSpPr>
      </xdr:nvSpPr>
      <xdr:spPr>
        <a:xfrm>
          <a:off x="5143500" y="374332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142875</xdr:rowOff>
    </xdr:from>
    <xdr:to>
      <xdr:col>13</xdr:col>
      <xdr:colOff>0</xdr:colOff>
      <xdr:row>19</xdr:row>
      <xdr:rowOff>85725</xdr:rowOff>
    </xdr:to>
    <xdr:sp>
      <xdr:nvSpPr>
        <xdr:cNvPr id="24" name="Ell47"/>
        <xdr:cNvSpPr>
          <a:spLocks/>
        </xdr:cNvSpPr>
      </xdr:nvSpPr>
      <xdr:spPr>
        <a:xfrm>
          <a:off x="5562600" y="374332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20</xdr:row>
      <xdr:rowOff>142875</xdr:rowOff>
    </xdr:from>
    <xdr:to>
      <xdr:col>2</xdr:col>
      <xdr:colOff>85725</xdr:colOff>
      <xdr:row>21</xdr:row>
      <xdr:rowOff>85725</xdr:rowOff>
    </xdr:to>
    <xdr:sp>
      <xdr:nvSpPr>
        <xdr:cNvPr id="25" name="Ell51"/>
        <xdr:cNvSpPr>
          <a:spLocks/>
        </xdr:cNvSpPr>
      </xdr:nvSpPr>
      <xdr:spPr>
        <a:xfrm>
          <a:off x="1809750" y="420052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142875</xdr:rowOff>
    </xdr:from>
    <xdr:to>
      <xdr:col>4</xdr:col>
      <xdr:colOff>85725</xdr:colOff>
      <xdr:row>21</xdr:row>
      <xdr:rowOff>85725</xdr:rowOff>
    </xdr:to>
    <xdr:sp>
      <xdr:nvSpPr>
        <xdr:cNvPr id="26" name="Ell52"/>
        <xdr:cNvSpPr>
          <a:spLocks/>
        </xdr:cNvSpPr>
      </xdr:nvSpPr>
      <xdr:spPr>
        <a:xfrm>
          <a:off x="2476500" y="420052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142875</xdr:rowOff>
    </xdr:from>
    <xdr:to>
      <xdr:col>6</xdr:col>
      <xdr:colOff>85725</xdr:colOff>
      <xdr:row>21</xdr:row>
      <xdr:rowOff>85725</xdr:rowOff>
    </xdr:to>
    <xdr:sp>
      <xdr:nvSpPr>
        <xdr:cNvPr id="27" name="Ell53"/>
        <xdr:cNvSpPr>
          <a:spLocks/>
        </xdr:cNvSpPr>
      </xdr:nvSpPr>
      <xdr:spPr>
        <a:xfrm>
          <a:off x="3143250" y="420052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20</xdr:row>
      <xdr:rowOff>142875</xdr:rowOff>
    </xdr:from>
    <xdr:to>
      <xdr:col>8</xdr:col>
      <xdr:colOff>85725</xdr:colOff>
      <xdr:row>21</xdr:row>
      <xdr:rowOff>85725</xdr:rowOff>
    </xdr:to>
    <xdr:sp>
      <xdr:nvSpPr>
        <xdr:cNvPr id="28" name="Ell54"/>
        <xdr:cNvSpPr>
          <a:spLocks/>
        </xdr:cNvSpPr>
      </xdr:nvSpPr>
      <xdr:spPr>
        <a:xfrm>
          <a:off x="3810000" y="420052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20</xdr:row>
      <xdr:rowOff>142875</xdr:rowOff>
    </xdr:from>
    <xdr:to>
      <xdr:col>12</xdr:col>
      <xdr:colOff>85725</xdr:colOff>
      <xdr:row>21</xdr:row>
      <xdr:rowOff>85725</xdr:rowOff>
    </xdr:to>
    <xdr:sp>
      <xdr:nvSpPr>
        <xdr:cNvPr id="29" name="Ell56"/>
        <xdr:cNvSpPr>
          <a:spLocks/>
        </xdr:cNvSpPr>
      </xdr:nvSpPr>
      <xdr:spPr>
        <a:xfrm>
          <a:off x="5143500" y="4200525"/>
          <a:ext cx="17145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142875</xdr:rowOff>
    </xdr:from>
    <xdr:to>
      <xdr:col>13</xdr:col>
      <xdr:colOff>0</xdr:colOff>
      <xdr:row>21</xdr:row>
      <xdr:rowOff>85725</xdr:rowOff>
    </xdr:to>
    <xdr:sp>
      <xdr:nvSpPr>
        <xdr:cNvPr id="30" name="Ell57"/>
        <xdr:cNvSpPr>
          <a:spLocks/>
        </xdr:cNvSpPr>
      </xdr:nvSpPr>
      <xdr:spPr>
        <a:xfrm>
          <a:off x="5562600" y="4200525"/>
          <a:ext cx="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22</xdr:row>
      <xdr:rowOff>142875</xdr:rowOff>
    </xdr:from>
    <xdr:to>
      <xdr:col>2</xdr:col>
      <xdr:colOff>85725</xdr:colOff>
      <xdr:row>23</xdr:row>
      <xdr:rowOff>85725</xdr:rowOff>
    </xdr:to>
    <xdr:sp>
      <xdr:nvSpPr>
        <xdr:cNvPr id="31" name="Ell61"/>
        <xdr:cNvSpPr>
          <a:spLocks/>
        </xdr:cNvSpPr>
      </xdr:nvSpPr>
      <xdr:spPr>
        <a:xfrm>
          <a:off x="1809750" y="465772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22</xdr:row>
      <xdr:rowOff>142875</xdr:rowOff>
    </xdr:from>
    <xdr:to>
      <xdr:col>4</xdr:col>
      <xdr:colOff>85725</xdr:colOff>
      <xdr:row>23</xdr:row>
      <xdr:rowOff>85725</xdr:rowOff>
    </xdr:to>
    <xdr:sp>
      <xdr:nvSpPr>
        <xdr:cNvPr id="32" name="Ell62"/>
        <xdr:cNvSpPr>
          <a:spLocks/>
        </xdr:cNvSpPr>
      </xdr:nvSpPr>
      <xdr:spPr>
        <a:xfrm>
          <a:off x="2476500" y="465772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22</xdr:row>
      <xdr:rowOff>142875</xdr:rowOff>
    </xdr:from>
    <xdr:to>
      <xdr:col>6</xdr:col>
      <xdr:colOff>85725</xdr:colOff>
      <xdr:row>23</xdr:row>
      <xdr:rowOff>85725</xdr:rowOff>
    </xdr:to>
    <xdr:sp>
      <xdr:nvSpPr>
        <xdr:cNvPr id="33" name="Ell63"/>
        <xdr:cNvSpPr>
          <a:spLocks/>
        </xdr:cNvSpPr>
      </xdr:nvSpPr>
      <xdr:spPr>
        <a:xfrm>
          <a:off x="3143250" y="465772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22</xdr:row>
      <xdr:rowOff>142875</xdr:rowOff>
    </xdr:from>
    <xdr:to>
      <xdr:col>8</xdr:col>
      <xdr:colOff>85725</xdr:colOff>
      <xdr:row>23</xdr:row>
      <xdr:rowOff>85725</xdr:rowOff>
    </xdr:to>
    <xdr:sp>
      <xdr:nvSpPr>
        <xdr:cNvPr id="34" name="Ell64"/>
        <xdr:cNvSpPr>
          <a:spLocks/>
        </xdr:cNvSpPr>
      </xdr:nvSpPr>
      <xdr:spPr>
        <a:xfrm>
          <a:off x="3810000" y="465772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22</xdr:row>
      <xdr:rowOff>142875</xdr:rowOff>
    </xdr:from>
    <xdr:to>
      <xdr:col>10</xdr:col>
      <xdr:colOff>85725</xdr:colOff>
      <xdr:row>23</xdr:row>
      <xdr:rowOff>85725</xdr:rowOff>
    </xdr:to>
    <xdr:sp>
      <xdr:nvSpPr>
        <xdr:cNvPr id="35" name="Ell65"/>
        <xdr:cNvSpPr>
          <a:spLocks/>
        </xdr:cNvSpPr>
      </xdr:nvSpPr>
      <xdr:spPr>
        <a:xfrm>
          <a:off x="4476750" y="4657725"/>
          <a:ext cx="171450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142875</xdr:rowOff>
    </xdr:from>
    <xdr:to>
      <xdr:col>13</xdr:col>
      <xdr:colOff>0</xdr:colOff>
      <xdr:row>23</xdr:row>
      <xdr:rowOff>85725</xdr:rowOff>
    </xdr:to>
    <xdr:sp>
      <xdr:nvSpPr>
        <xdr:cNvPr id="36" name="Ell67"/>
        <xdr:cNvSpPr>
          <a:spLocks/>
        </xdr:cNvSpPr>
      </xdr:nvSpPr>
      <xdr:spPr>
        <a:xfrm>
          <a:off x="5562600" y="465772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0</xdr:rowOff>
    </xdr:from>
    <xdr:to>
      <xdr:col>2</xdr:col>
      <xdr:colOff>85725</xdr:colOff>
      <xdr:row>24</xdr:row>
      <xdr:rowOff>0</xdr:rowOff>
    </xdr:to>
    <xdr:sp>
      <xdr:nvSpPr>
        <xdr:cNvPr id="37" name="Ell71"/>
        <xdr:cNvSpPr>
          <a:spLocks/>
        </xdr:cNvSpPr>
      </xdr:nvSpPr>
      <xdr:spPr>
        <a:xfrm>
          <a:off x="1809750" y="497205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24</xdr:row>
      <xdr:rowOff>0</xdr:rowOff>
    </xdr:from>
    <xdr:to>
      <xdr:col>4</xdr:col>
      <xdr:colOff>85725</xdr:colOff>
      <xdr:row>24</xdr:row>
      <xdr:rowOff>0</xdr:rowOff>
    </xdr:to>
    <xdr:sp>
      <xdr:nvSpPr>
        <xdr:cNvPr id="38" name="Ell72"/>
        <xdr:cNvSpPr>
          <a:spLocks/>
        </xdr:cNvSpPr>
      </xdr:nvSpPr>
      <xdr:spPr>
        <a:xfrm>
          <a:off x="2476500" y="497205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0</xdr:rowOff>
    </xdr:from>
    <xdr:to>
      <xdr:col>6</xdr:col>
      <xdr:colOff>85725</xdr:colOff>
      <xdr:row>24</xdr:row>
      <xdr:rowOff>0</xdr:rowOff>
    </xdr:to>
    <xdr:sp>
      <xdr:nvSpPr>
        <xdr:cNvPr id="39" name="Ell73"/>
        <xdr:cNvSpPr>
          <a:spLocks/>
        </xdr:cNvSpPr>
      </xdr:nvSpPr>
      <xdr:spPr>
        <a:xfrm>
          <a:off x="3143250" y="497205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24</xdr:row>
      <xdr:rowOff>0</xdr:rowOff>
    </xdr:from>
    <xdr:to>
      <xdr:col>8</xdr:col>
      <xdr:colOff>85725</xdr:colOff>
      <xdr:row>24</xdr:row>
      <xdr:rowOff>0</xdr:rowOff>
    </xdr:to>
    <xdr:sp>
      <xdr:nvSpPr>
        <xdr:cNvPr id="40" name="Ell74"/>
        <xdr:cNvSpPr>
          <a:spLocks/>
        </xdr:cNvSpPr>
      </xdr:nvSpPr>
      <xdr:spPr>
        <a:xfrm>
          <a:off x="3810000" y="4972050"/>
          <a:ext cx="1714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24</xdr:row>
      <xdr:rowOff>0</xdr:rowOff>
    </xdr:from>
    <xdr:to>
      <xdr:col>10</xdr:col>
      <xdr:colOff>85725</xdr:colOff>
      <xdr:row>24</xdr:row>
      <xdr:rowOff>0</xdr:rowOff>
    </xdr:to>
    <xdr:sp>
      <xdr:nvSpPr>
        <xdr:cNvPr id="41" name="Ell75"/>
        <xdr:cNvSpPr>
          <a:spLocks/>
        </xdr:cNvSpPr>
      </xdr:nvSpPr>
      <xdr:spPr>
        <a:xfrm>
          <a:off x="4476750" y="4972050"/>
          <a:ext cx="171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24</xdr:row>
      <xdr:rowOff>0</xdr:rowOff>
    </xdr:from>
    <xdr:to>
      <xdr:col>12</xdr:col>
      <xdr:colOff>85725</xdr:colOff>
      <xdr:row>24</xdr:row>
      <xdr:rowOff>0</xdr:rowOff>
    </xdr:to>
    <xdr:sp>
      <xdr:nvSpPr>
        <xdr:cNvPr id="42" name="Ell76"/>
        <xdr:cNvSpPr>
          <a:spLocks/>
        </xdr:cNvSpPr>
      </xdr:nvSpPr>
      <xdr:spPr>
        <a:xfrm>
          <a:off x="5143500" y="4972050"/>
          <a:ext cx="1714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219075</xdr:colOff>
      <xdr:row>0</xdr:row>
      <xdr:rowOff>66675</xdr:rowOff>
    </xdr:from>
    <xdr:to>
      <xdr:col>17</xdr:col>
      <xdr:colOff>228600</xdr:colOff>
      <xdr:row>9</xdr:row>
      <xdr:rowOff>57150</xdr:rowOff>
    </xdr:to>
    <xdr:pic>
      <xdr:nvPicPr>
        <xdr:cNvPr id="43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66675"/>
          <a:ext cx="8477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24</xdr:row>
      <xdr:rowOff>142875</xdr:rowOff>
    </xdr:from>
    <xdr:to>
      <xdr:col>5</xdr:col>
      <xdr:colOff>276225</xdr:colOff>
      <xdr:row>26</xdr:row>
      <xdr:rowOff>9525</xdr:rowOff>
    </xdr:to>
    <xdr:sp>
      <xdr:nvSpPr>
        <xdr:cNvPr id="44" name="Oval 219"/>
        <xdr:cNvSpPr>
          <a:spLocks/>
        </xdr:cNvSpPr>
      </xdr:nvSpPr>
      <xdr:spPr>
        <a:xfrm>
          <a:off x="2990850" y="5114925"/>
          <a:ext cx="18097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24</xdr:row>
      <xdr:rowOff>142875</xdr:rowOff>
    </xdr:from>
    <xdr:to>
      <xdr:col>0</xdr:col>
      <xdr:colOff>1247775</xdr:colOff>
      <xdr:row>26</xdr:row>
      <xdr:rowOff>9525</xdr:rowOff>
    </xdr:to>
    <xdr:sp>
      <xdr:nvSpPr>
        <xdr:cNvPr id="45" name="Oval 220"/>
        <xdr:cNvSpPr>
          <a:spLocks/>
        </xdr:cNvSpPr>
      </xdr:nvSpPr>
      <xdr:spPr>
        <a:xfrm>
          <a:off x="1066800" y="5114925"/>
          <a:ext cx="180975" cy="1905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24</xdr:row>
      <xdr:rowOff>133350</xdr:rowOff>
    </xdr:from>
    <xdr:to>
      <xdr:col>9</xdr:col>
      <xdr:colOff>285750</xdr:colOff>
      <xdr:row>26</xdr:row>
      <xdr:rowOff>0</xdr:rowOff>
    </xdr:to>
    <xdr:sp>
      <xdr:nvSpPr>
        <xdr:cNvPr id="46" name="Oval 221"/>
        <xdr:cNvSpPr>
          <a:spLocks/>
        </xdr:cNvSpPr>
      </xdr:nvSpPr>
      <xdr:spPr>
        <a:xfrm>
          <a:off x="4333875" y="5105400"/>
          <a:ext cx="180975" cy="190500"/>
        </a:xfrm>
        <a:prstGeom prst="ellipse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niorenTurnier%20Einga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klassement"/>
      <sheetName val="Platzierung 9-16"/>
      <sheetName val="8telFinale"/>
      <sheetName val="Gruppeneinteilung"/>
      <sheetName val="Spielplan"/>
      <sheetName val="Deckblatt"/>
      <sheetName val="Ausdruck 1"/>
      <sheetName val="Ausdruck 2"/>
      <sheetName val="Ausdruck 3"/>
      <sheetName val="Ausdruck 4"/>
      <sheetName val="8telFinale Alt"/>
      <sheetName val="Zusammenfassung pl 17-24"/>
      <sheetName val="Platzierung 17-24"/>
      <sheetName val="Tabelle 17-24"/>
      <sheetName val="4tel Finale"/>
      <sheetName val="Finalrunden"/>
      <sheetName val="Spielplan MANUEL"/>
    </sheetNames>
    <sheetDataSet>
      <sheetData sheetId="3">
        <row r="14">
          <cell r="B14" t="str">
            <v>Andreas Volbracht</v>
          </cell>
          <cell r="C14" t="str">
            <v>Volbracht</v>
          </cell>
          <cell r="D14" t="str">
            <v>BA Berlin</v>
          </cell>
          <cell r="E14">
            <v>0.7</v>
          </cell>
        </row>
        <row r="15">
          <cell r="B15" t="str">
            <v>Erwin Schwinning</v>
          </cell>
          <cell r="C15" t="str">
            <v>Schwinning</v>
          </cell>
          <cell r="D15" t="str">
            <v>AGB Xanten</v>
          </cell>
          <cell r="E15">
            <v>0.67</v>
          </cell>
        </row>
        <row r="16">
          <cell r="B16" t="str">
            <v>Gerd Krümmel</v>
          </cell>
          <cell r="C16" t="str">
            <v>Krümmel</v>
          </cell>
          <cell r="D16" t="str">
            <v>BSV Velbert</v>
          </cell>
          <cell r="E16">
            <v>0.58</v>
          </cell>
        </row>
        <row r="17">
          <cell r="B17" t="str">
            <v>Klaus Richter</v>
          </cell>
          <cell r="C17" t="str">
            <v>Richter</v>
          </cell>
          <cell r="D17" t="str">
            <v>BG Hamburg</v>
          </cell>
          <cell r="E17">
            <v>0.53</v>
          </cell>
        </row>
        <row r="18">
          <cell r="B18" t="str">
            <v>Klaus Prächtel</v>
          </cell>
          <cell r="C18" t="str">
            <v>Prächtel</v>
          </cell>
          <cell r="D18" t="str">
            <v>BG RW Krefeld</v>
          </cell>
          <cell r="E18">
            <v>0.51</v>
          </cell>
        </row>
        <row r="19">
          <cell r="B19" t="str">
            <v>Frank Spruzina</v>
          </cell>
          <cell r="C19" t="str">
            <v>Spruzina</v>
          </cell>
          <cell r="D19" t="str">
            <v>VfV Hildesheim</v>
          </cell>
          <cell r="E19">
            <v>0.38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6:U26"/>
  <sheetViews>
    <sheetView tabSelected="1" zoomScalePageLayoutView="0" workbookViewId="0" topLeftCell="A1">
      <selection activeCell="P24" sqref="P24"/>
    </sheetView>
  </sheetViews>
  <sheetFormatPr defaultColWidth="11.421875" defaultRowHeight="12.75"/>
  <cols>
    <col min="1" max="1" width="23.421875" style="0" customWidth="1"/>
    <col min="2" max="14" width="5.00390625" style="0" customWidth="1"/>
    <col min="15" max="16" width="6.7109375" style="0" customWidth="1"/>
    <col min="17" max="19" width="5.8515625" style="0" customWidth="1"/>
  </cols>
  <sheetData>
    <row r="5" ht="13.5" thickBot="1"/>
    <row r="6" spans="1:19" ht="15.75" thickBot="1">
      <c r="A6" s="34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"/>
      <c r="Q6" s="1"/>
      <c r="R6" s="1"/>
      <c r="S6" s="1"/>
    </row>
    <row r="7" spans="1:19" ht="15">
      <c r="A7" s="12" t="s">
        <v>34</v>
      </c>
      <c r="B7" s="13" t="s">
        <v>47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"/>
      <c r="Q7" s="1"/>
      <c r="R7" s="1"/>
      <c r="S7" s="1"/>
    </row>
    <row r="8" spans="1:19" ht="15">
      <c r="A8" s="15" t="s">
        <v>35</v>
      </c>
      <c r="B8" s="16" t="s">
        <v>45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"/>
      <c r="Q8" s="1"/>
      <c r="R8" s="1"/>
      <c r="S8" s="1"/>
    </row>
    <row r="9" spans="1:19" ht="15.75" thickBot="1">
      <c r="A9" s="19" t="s">
        <v>3</v>
      </c>
      <c r="B9" s="20" t="s">
        <v>44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1"/>
      <c r="Q9" s="1"/>
      <c r="R9" s="1"/>
      <c r="S9" s="1"/>
    </row>
    <row r="10" spans="1:19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7" ht="18" customHeight="1">
      <c r="A11" s="42" t="s">
        <v>46</v>
      </c>
      <c r="B11" s="44" t="str">
        <f>Eingabe!E15</f>
        <v>Volbracht</v>
      </c>
      <c r="C11" s="45"/>
      <c r="D11" s="44" t="str">
        <f>Eingabe!E16</f>
        <v>Schwinning</v>
      </c>
      <c r="E11" s="45"/>
      <c r="F11" s="44" t="str">
        <f>Eingabe!E17</f>
        <v>Krümmel</v>
      </c>
      <c r="G11" s="45"/>
      <c r="H11" s="44" t="str">
        <f>Eingabe!E18</f>
        <v>Richter</v>
      </c>
      <c r="I11" s="45"/>
      <c r="J11" s="44" t="str">
        <f>Eingabe!E19</f>
        <v>Prächtel</v>
      </c>
      <c r="K11" s="45"/>
      <c r="L11" s="44" t="str">
        <f>Eingabe!E20</f>
        <v>Spruzina</v>
      </c>
      <c r="M11" s="45"/>
      <c r="N11" s="54" t="s">
        <v>28</v>
      </c>
      <c r="O11" s="35" t="s">
        <v>36</v>
      </c>
      <c r="P11" s="36" t="s">
        <v>37</v>
      </c>
      <c r="Q11" s="56" t="s">
        <v>19</v>
      </c>
    </row>
    <row r="12" spans="1:17" ht="18" customHeight="1" thickBot="1">
      <c r="A12" s="43"/>
      <c r="B12" s="46"/>
      <c r="C12" s="47"/>
      <c r="D12" s="46"/>
      <c r="E12" s="47"/>
      <c r="F12" s="46"/>
      <c r="G12" s="47"/>
      <c r="H12" s="46"/>
      <c r="I12" s="47"/>
      <c r="J12" s="46"/>
      <c r="K12" s="47"/>
      <c r="L12" s="46"/>
      <c r="M12" s="47"/>
      <c r="N12" s="55"/>
      <c r="O12" s="37" t="s">
        <v>7</v>
      </c>
      <c r="P12" s="38" t="s">
        <v>29</v>
      </c>
      <c r="Q12" s="57"/>
    </row>
    <row r="13" spans="1:17" ht="18" customHeight="1">
      <c r="A13" s="39" t="str">
        <f>Eingabe!B15</f>
        <v>Andreas Volbracht</v>
      </c>
      <c r="B13" s="48">
        <f>Eingabe!$N$15</f>
        <v>2</v>
      </c>
      <c r="C13" s="49"/>
      <c r="D13" s="26">
        <f>Eingabe!D133</f>
        <v>30</v>
      </c>
      <c r="E13" s="27">
        <f>Eingabe!E133</f>
        <v>38</v>
      </c>
      <c r="F13" s="26">
        <f>Eingabe!F133</f>
        <v>29</v>
      </c>
      <c r="G13" s="27">
        <f>Eingabe!G133</f>
        <v>49</v>
      </c>
      <c r="H13" s="26">
        <f>Eingabe!H133</f>
        <v>19</v>
      </c>
      <c r="I13" s="27">
        <f>Eingabe!I133</f>
        <v>50</v>
      </c>
      <c r="J13" s="26">
        <f>Eingabe!J133</f>
        <v>30</v>
      </c>
      <c r="K13" s="27">
        <f>Eingabe!K133</f>
        <v>45</v>
      </c>
      <c r="L13" s="26">
        <f>Eingabe!L133</f>
        <v>30</v>
      </c>
      <c r="M13" s="27">
        <f>Eingabe!M133</f>
        <v>38</v>
      </c>
      <c r="N13" s="52">
        <f>Eingabe!H15</f>
        <v>6</v>
      </c>
      <c r="O13" s="30">
        <f>Eingabe!I15</f>
        <v>138</v>
      </c>
      <c r="P13" s="31">
        <f>Eingabe!J15</f>
        <v>220</v>
      </c>
      <c r="Q13" s="52">
        <f>Eingabe!L15</f>
        <v>4</v>
      </c>
    </row>
    <row r="14" spans="1:21" ht="18" customHeight="1" thickBot="1">
      <c r="A14" s="40" t="str">
        <f>Eingabe!G15</f>
        <v>BA Berlin - 0,700</v>
      </c>
      <c r="B14" s="50"/>
      <c r="C14" s="51"/>
      <c r="D14" s="28" t="str">
        <f>Eingabe!D134</f>
        <v>0,789</v>
      </c>
      <c r="E14" s="29">
        <f>Eingabe!E134</f>
        <v>4</v>
      </c>
      <c r="F14" s="28" t="str">
        <f>Eingabe!F134</f>
        <v>0,591</v>
      </c>
      <c r="G14" s="29">
        <f>Eingabe!G134</f>
        <v>3</v>
      </c>
      <c r="H14" s="28" t="str">
        <f>Eingabe!H134</f>
        <v>0,380</v>
      </c>
      <c r="I14" s="29">
        <f>Eingabe!I134</f>
        <v>3</v>
      </c>
      <c r="J14" s="28" t="str">
        <f>Eingabe!J134</f>
        <v>0,666</v>
      </c>
      <c r="K14" s="29">
        <f>Eingabe!K134</f>
        <v>3</v>
      </c>
      <c r="L14" s="28" t="str">
        <f>Eingabe!L134</f>
        <v>0,789</v>
      </c>
      <c r="M14" s="29">
        <f>Eingabe!M134</f>
        <v>4</v>
      </c>
      <c r="N14" s="53"/>
      <c r="O14" s="32" t="str">
        <f>Eingabe!K15</f>
        <v>0,627</v>
      </c>
      <c r="P14" s="33" t="str">
        <f>Eingabe!M15</f>
        <v>0,789</v>
      </c>
      <c r="Q14" s="53"/>
      <c r="T14" s="41"/>
      <c r="U14" s="41"/>
    </row>
    <row r="15" spans="1:17" ht="18" customHeight="1">
      <c r="A15" s="39" t="str">
        <f>Eingabe!B16</f>
        <v>Erwin Schwinning</v>
      </c>
      <c r="B15" s="26">
        <f>Eingabe!B135</f>
        <v>9</v>
      </c>
      <c r="C15" s="27">
        <f>Eingabe!C135</f>
        <v>38</v>
      </c>
      <c r="D15" s="48">
        <f>Eingabe!$N$16</f>
        <v>4</v>
      </c>
      <c r="E15" s="49"/>
      <c r="F15" s="26">
        <f>Eingabe!F135</f>
        <v>30</v>
      </c>
      <c r="G15" s="27">
        <f>Eingabe!G135</f>
        <v>47</v>
      </c>
      <c r="H15" s="26">
        <f>Eingabe!H135</f>
        <v>28</v>
      </c>
      <c r="I15" s="27">
        <f>Eingabe!I135</f>
        <v>50</v>
      </c>
      <c r="J15" s="26">
        <f>Eingabe!J135</f>
        <v>16</v>
      </c>
      <c r="K15" s="27">
        <f>Eingabe!K135</f>
        <v>50</v>
      </c>
      <c r="L15" s="26">
        <f>Eingabe!L135</f>
        <v>22</v>
      </c>
      <c r="M15" s="27">
        <f>Eingabe!M135</f>
        <v>50</v>
      </c>
      <c r="N15" s="52">
        <f>Eingabe!H16</f>
        <v>6</v>
      </c>
      <c r="O15" s="30">
        <f>Eingabe!I16</f>
        <v>105</v>
      </c>
      <c r="P15" s="31">
        <f>Eingabe!J16</f>
        <v>235</v>
      </c>
      <c r="Q15" s="52">
        <f>Eingabe!L16</f>
        <v>6</v>
      </c>
    </row>
    <row r="16" spans="1:17" ht="18" customHeight="1" thickBot="1">
      <c r="A16" s="40" t="str">
        <f>Eingabe!G16</f>
        <v>AGB Xanten - 0,670</v>
      </c>
      <c r="B16" s="28" t="str">
        <f>Eingabe!B136</f>
        <v>0,236</v>
      </c>
      <c r="C16" s="29">
        <f>Eingabe!C136</f>
        <v>3</v>
      </c>
      <c r="D16" s="50"/>
      <c r="E16" s="51"/>
      <c r="F16" s="28" t="str">
        <f>Eingabe!F136</f>
        <v>0,638</v>
      </c>
      <c r="G16" s="29">
        <f>Eingabe!G136</f>
        <v>4</v>
      </c>
      <c r="H16" s="28" t="str">
        <f>Eingabe!H136</f>
        <v>0,560</v>
      </c>
      <c r="I16" s="29">
        <f>Eingabe!I136</f>
        <v>6</v>
      </c>
      <c r="J16" s="28" t="str">
        <f>Eingabe!J136</f>
        <v>0,320</v>
      </c>
      <c r="K16" s="29">
        <f>Eingabe!K136</f>
        <v>3</v>
      </c>
      <c r="L16" s="28" t="str">
        <f>Eingabe!L136</f>
        <v>0,440</v>
      </c>
      <c r="M16" s="29">
        <f>Eingabe!M136</f>
        <v>3</v>
      </c>
      <c r="N16" s="53"/>
      <c r="O16" s="32" t="str">
        <f>Eingabe!K16</f>
        <v>0,446</v>
      </c>
      <c r="P16" s="33" t="str">
        <f>Eingabe!M16</f>
        <v>0,638</v>
      </c>
      <c r="Q16" s="53"/>
    </row>
    <row r="17" spans="1:17" ht="18" customHeight="1">
      <c r="A17" s="39" t="str">
        <f>Eingabe!B17</f>
        <v>Gerd Krümmel</v>
      </c>
      <c r="B17" s="26">
        <f>Eingabe!B137</f>
        <v>30</v>
      </c>
      <c r="C17" s="27">
        <f>Eingabe!C137</f>
        <v>49</v>
      </c>
      <c r="D17" s="26">
        <f>Eingabe!D137</f>
        <v>26</v>
      </c>
      <c r="E17" s="27">
        <f>Eingabe!E137</f>
        <v>47</v>
      </c>
      <c r="F17" s="48">
        <f>Eingabe!$N$17</f>
        <v>1</v>
      </c>
      <c r="G17" s="49"/>
      <c r="H17" s="26">
        <f>Eingabe!H137</f>
        <v>30</v>
      </c>
      <c r="I17" s="27">
        <f>Eingabe!I137</f>
        <v>31</v>
      </c>
      <c r="J17" s="26">
        <f>Eingabe!J137</f>
        <v>30</v>
      </c>
      <c r="K17" s="27">
        <f>Eingabe!K137</f>
        <v>34</v>
      </c>
      <c r="L17" s="26">
        <f>Eingabe!L137</f>
        <v>30</v>
      </c>
      <c r="M17" s="27">
        <f>Eingabe!M137</f>
        <v>37</v>
      </c>
      <c r="N17" s="52">
        <f>Eingabe!H17</f>
        <v>8</v>
      </c>
      <c r="O17" s="30">
        <f>Eingabe!I17</f>
        <v>146</v>
      </c>
      <c r="P17" s="31">
        <f>Eingabe!J17</f>
        <v>198</v>
      </c>
      <c r="Q17" s="52">
        <f>Eingabe!L17</f>
        <v>4</v>
      </c>
    </row>
    <row r="18" spans="1:17" ht="18" customHeight="1" thickBot="1">
      <c r="A18" s="40" t="str">
        <f>Eingabe!G17</f>
        <v>BSV Velbert - 0,580</v>
      </c>
      <c r="B18" s="28" t="str">
        <f>Eingabe!B138</f>
        <v>0,612</v>
      </c>
      <c r="C18" s="29">
        <f>Eingabe!C138</f>
        <v>4</v>
      </c>
      <c r="D18" s="28" t="str">
        <f>Eingabe!D138</f>
        <v>0,553</v>
      </c>
      <c r="E18" s="29">
        <f>Eingabe!E138</f>
        <v>3</v>
      </c>
      <c r="F18" s="50"/>
      <c r="G18" s="51"/>
      <c r="H18" s="28" t="str">
        <f>Eingabe!H138</f>
        <v>0,967</v>
      </c>
      <c r="I18" s="29">
        <f>Eingabe!I138</f>
        <v>3</v>
      </c>
      <c r="J18" s="28" t="str">
        <f>Eingabe!J138</f>
        <v>0,882</v>
      </c>
      <c r="K18" s="29">
        <f>Eingabe!K138</f>
        <v>4</v>
      </c>
      <c r="L18" s="28" t="str">
        <f>Eingabe!L138</f>
        <v>0,810</v>
      </c>
      <c r="M18" s="29">
        <f>Eingabe!M138</f>
        <v>4</v>
      </c>
      <c r="N18" s="53"/>
      <c r="O18" s="32" t="str">
        <f>Eingabe!K17</f>
        <v>0,737</v>
      </c>
      <c r="P18" s="33" t="str">
        <f>Eingabe!M17</f>
        <v>0,967</v>
      </c>
      <c r="Q18" s="53"/>
    </row>
    <row r="19" spans="1:17" ht="18" customHeight="1">
      <c r="A19" s="39" t="str">
        <f>Eingabe!B18</f>
        <v>Klaus Richter</v>
      </c>
      <c r="B19" s="26">
        <f>Eingabe!B139</f>
        <v>21</v>
      </c>
      <c r="C19" s="27">
        <f>Eingabe!C139</f>
        <v>50</v>
      </c>
      <c r="D19" s="26">
        <f>Eingabe!D139</f>
        <v>20</v>
      </c>
      <c r="E19" s="27">
        <f>Eingabe!E139</f>
        <v>50</v>
      </c>
      <c r="F19" s="26">
        <f>Eingabe!F139</f>
        <v>17</v>
      </c>
      <c r="G19" s="27">
        <f>Eingabe!G139</f>
        <v>31</v>
      </c>
      <c r="H19" s="48">
        <f>Eingabe!$N$18</f>
        <v>3</v>
      </c>
      <c r="I19" s="49"/>
      <c r="J19" s="26">
        <f>Eingabe!J139</f>
        <v>29</v>
      </c>
      <c r="K19" s="27">
        <f>Eingabe!K139</f>
        <v>50</v>
      </c>
      <c r="L19" s="26">
        <f>Eingabe!L139</f>
        <v>26</v>
      </c>
      <c r="M19" s="27">
        <f>Eingabe!M139</f>
        <v>50</v>
      </c>
      <c r="N19" s="52">
        <f>Eingabe!H18</f>
        <v>6</v>
      </c>
      <c r="O19" s="30">
        <f>Eingabe!I18</f>
        <v>113</v>
      </c>
      <c r="P19" s="31">
        <f>Eingabe!J18</f>
        <v>231</v>
      </c>
      <c r="Q19" s="52">
        <f>Eingabe!L18</f>
        <v>3</v>
      </c>
    </row>
    <row r="20" spans="1:17" ht="18" customHeight="1" thickBot="1">
      <c r="A20" s="40" t="str">
        <f>Eingabe!G18</f>
        <v>BG Hamburg - 0,530</v>
      </c>
      <c r="B20" s="28" t="str">
        <f>Eingabe!B140</f>
        <v>0,420</v>
      </c>
      <c r="C20" s="29">
        <f>Eingabe!C140</f>
        <v>3</v>
      </c>
      <c r="D20" s="28" t="str">
        <f>Eingabe!D140</f>
        <v>0,400</v>
      </c>
      <c r="E20" s="29">
        <f>Eingabe!E140</f>
        <v>3</v>
      </c>
      <c r="F20" s="28" t="str">
        <f>Eingabe!F140</f>
        <v>0,548</v>
      </c>
      <c r="G20" s="29">
        <f>Eingabe!G140</f>
        <v>3</v>
      </c>
      <c r="H20" s="50"/>
      <c r="I20" s="51"/>
      <c r="J20" s="28" t="str">
        <f>Eingabe!J140</f>
        <v>0,580</v>
      </c>
      <c r="K20" s="29">
        <f>Eingabe!K140</f>
        <v>3</v>
      </c>
      <c r="L20" s="28" t="str">
        <f>Eingabe!L140</f>
        <v>0,520</v>
      </c>
      <c r="M20" s="29">
        <f>Eingabe!M140</f>
        <v>3</v>
      </c>
      <c r="N20" s="53"/>
      <c r="O20" s="32" t="str">
        <f>Eingabe!K18</f>
        <v>0,489</v>
      </c>
      <c r="P20" s="33" t="str">
        <f>Eingabe!M18</f>
        <v>0,580</v>
      </c>
      <c r="Q20" s="53"/>
    </row>
    <row r="21" spans="1:17" ht="18" customHeight="1">
      <c r="A21" s="39" t="str">
        <f>Eingabe!B19</f>
        <v>Klaus Prächtel</v>
      </c>
      <c r="B21" s="26">
        <f>Eingabe!B141</f>
        <v>23</v>
      </c>
      <c r="C21" s="27">
        <f>Eingabe!C141</f>
        <v>45</v>
      </c>
      <c r="D21" s="26">
        <f>Eingabe!D141</f>
        <v>18</v>
      </c>
      <c r="E21" s="27">
        <f>Eingabe!E141</f>
        <v>50</v>
      </c>
      <c r="F21" s="26">
        <f>Eingabe!F141</f>
        <v>19</v>
      </c>
      <c r="G21" s="27">
        <f>Eingabe!G141</f>
        <v>34</v>
      </c>
      <c r="H21" s="26">
        <f>Eingabe!H141</f>
        <v>21</v>
      </c>
      <c r="I21" s="27">
        <f>Eingabe!I141</f>
        <v>50</v>
      </c>
      <c r="J21" s="48">
        <f>Eingabe!$N$19</f>
        <v>5</v>
      </c>
      <c r="K21" s="49"/>
      <c r="L21" s="26">
        <f>Eingabe!L141</f>
        <v>30</v>
      </c>
      <c r="M21" s="27">
        <f>Eingabe!M141</f>
        <v>47</v>
      </c>
      <c r="N21" s="52">
        <f>Eingabe!H19</f>
        <v>4</v>
      </c>
      <c r="O21" s="30">
        <f>Eingabe!I19</f>
        <v>111</v>
      </c>
      <c r="P21" s="31">
        <f>Eingabe!J19</f>
        <v>226</v>
      </c>
      <c r="Q21" s="52">
        <f>Eingabe!L19</f>
        <v>5</v>
      </c>
    </row>
    <row r="22" spans="1:17" ht="18" customHeight="1" thickBot="1">
      <c r="A22" s="40" t="str">
        <f>Eingabe!G19</f>
        <v>BG RW Krefeld - 0,510</v>
      </c>
      <c r="B22" s="28" t="str">
        <f>Eingabe!B142</f>
        <v>0,511</v>
      </c>
      <c r="C22" s="29">
        <f>Eingabe!C142</f>
        <v>4</v>
      </c>
      <c r="D22" s="28" t="str">
        <f>Eingabe!D142</f>
        <v>0,360</v>
      </c>
      <c r="E22" s="29">
        <f>Eingabe!E142</f>
        <v>3</v>
      </c>
      <c r="F22" s="28" t="str">
        <f>Eingabe!F142</f>
        <v>0,558</v>
      </c>
      <c r="G22" s="29">
        <f>Eingabe!G142</f>
        <v>3</v>
      </c>
      <c r="H22" s="28" t="str">
        <f>Eingabe!H142</f>
        <v>0,420</v>
      </c>
      <c r="I22" s="29">
        <f>Eingabe!I142</f>
        <v>3</v>
      </c>
      <c r="J22" s="50"/>
      <c r="K22" s="51"/>
      <c r="L22" s="28" t="str">
        <f>Eingabe!L142</f>
        <v>0,638</v>
      </c>
      <c r="M22" s="29">
        <f>Eingabe!M142</f>
        <v>5</v>
      </c>
      <c r="N22" s="53"/>
      <c r="O22" s="32" t="str">
        <f>Eingabe!K19</f>
        <v>0,491</v>
      </c>
      <c r="P22" s="33" t="str">
        <f>Eingabe!M19</f>
        <v>0,638</v>
      </c>
      <c r="Q22" s="53"/>
    </row>
    <row r="23" spans="1:17" ht="18" customHeight="1">
      <c r="A23" s="39" t="str">
        <f>Eingabe!B20</f>
        <v>Frank Spruzina</v>
      </c>
      <c r="B23" s="26">
        <f>Eingabe!B143</f>
        <v>7</v>
      </c>
      <c r="C23" s="27">
        <f>Eingabe!C143</f>
        <v>38</v>
      </c>
      <c r="D23" s="26">
        <f>Eingabe!D143</f>
        <v>15</v>
      </c>
      <c r="E23" s="27">
        <f>Eingabe!E143</f>
        <v>50</v>
      </c>
      <c r="F23" s="26">
        <f>Eingabe!F143</f>
        <v>18</v>
      </c>
      <c r="G23" s="27">
        <f>Eingabe!G143</f>
        <v>37</v>
      </c>
      <c r="H23" s="26">
        <f>Eingabe!H143</f>
        <v>16</v>
      </c>
      <c r="I23" s="27">
        <f>Eingabe!I143</f>
        <v>50</v>
      </c>
      <c r="J23" s="26">
        <f>Eingabe!J143</f>
        <v>20</v>
      </c>
      <c r="K23" s="27">
        <f>Eingabe!K143</f>
        <v>47</v>
      </c>
      <c r="L23" s="48">
        <f>Eingabe!$N$20</f>
        <v>6</v>
      </c>
      <c r="M23" s="49"/>
      <c r="N23" s="52">
        <f>Eingabe!H20</f>
        <v>0</v>
      </c>
      <c r="O23" s="30">
        <f>Eingabe!I20</f>
        <v>76</v>
      </c>
      <c r="P23" s="31">
        <f>Eingabe!J20</f>
        <v>222</v>
      </c>
      <c r="Q23" s="52">
        <f>Eingabe!L20</f>
        <v>4</v>
      </c>
    </row>
    <row r="24" spans="1:17" ht="18" customHeight="1" thickBot="1">
      <c r="A24" s="40" t="str">
        <f>Eingabe!G20</f>
        <v>VfV Hildesheim - 0,380</v>
      </c>
      <c r="B24" s="28" t="str">
        <f>Eingabe!B144</f>
        <v>0,184</v>
      </c>
      <c r="C24" s="29">
        <f>Eingabe!C144</f>
        <v>2</v>
      </c>
      <c r="D24" s="28" t="str">
        <f>Eingabe!D144</f>
        <v>0,300</v>
      </c>
      <c r="E24" s="29">
        <f>Eingabe!E144</f>
        <v>2</v>
      </c>
      <c r="F24" s="28" t="str">
        <f>Eingabe!F144</f>
        <v>0,486</v>
      </c>
      <c r="G24" s="29">
        <f>Eingabe!G144</f>
        <v>4</v>
      </c>
      <c r="H24" s="28" t="str">
        <f>Eingabe!H144</f>
        <v>0,320</v>
      </c>
      <c r="I24" s="29">
        <f>Eingabe!I144</f>
        <v>2</v>
      </c>
      <c r="J24" s="28" t="str">
        <f>Eingabe!J144</f>
        <v>0,425</v>
      </c>
      <c r="K24" s="29">
        <f>Eingabe!K144</f>
        <v>4</v>
      </c>
      <c r="L24" s="50"/>
      <c r="M24" s="51"/>
      <c r="N24" s="53"/>
      <c r="O24" s="32" t="str">
        <f>Eingabe!K20</f>
        <v>0,342</v>
      </c>
      <c r="P24" s="33" t="str">
        <f>Eingabe!M20</f>
        <v>-</v>
      </c>
      <c r="Q24" s="53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1" ht="12.75">
      <c r="B26" t="s">
        <v>49</v>
      </c>
      <c r="G26" t="s">
        <v>50</v>
      </c>
      <c r="K26" t="s">
        <v>51</v>
      </c>
    </row>
  </sheetData>
  <sheetProtection/>
  <mergeCells count="27">
    <mergeCell ref="Q19:Q20"/>
    <mergeCell ref="N23:N24"/>
    <mergeCell ref="H19:I20"/>
    <mergeCell ref="Q21:Q22"/>
    <mergeCell ref="L23:M24"/>
    <mergeCell ref="Q23:Q24"/>
    <mergeCell ref="N19:N20"/>
    <mergeCell ref="N21:N22"/>
    <mergeCell ref="J21:K22"/>
    <mergeCell ref="N17:N18"/>
    <mergeCell ref="N11:N12"/>
    <mergeCell ref="F17:G18"/>
    <mergeCell ref="Q11:Q12"/>
    <mergeCell ref="H11:I12"/>
    <mergeCell ref="J11:K12"/>
    <mergeCell ref="L11:M12"/>
    <mergeCell ref="Q17:Q18"/>
    <mergeCell ref="B13:C14"/>
    <mergeCell ref="D15:E16"/>
    <mergeCell ref="Q15:Q16"/>
    <mergeCell ref="N15:N16"/>
    <mergeCell ref="N13:N14"/>
    <mergeCell ref="Q13:Q14"/>
    <mergeCell ref="A11:A12"/>
    <mergeCell ref="B11:C12"/>
    <mergeCell ref="D11:E12"/>
    <mergeCell ref="F11:G12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360" verticalDpi="36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Q144"/>
  <sheetViews>
    <sheetView zoomScalePageLayoutView="0" workbookViewId="0" topLeftCell="A1">
      <selection activeCell="N37" sqref="N37"/>
    </sheetView>
  </sheetViews>
  <sheetFormatPr defaultColWidth="11.421875" defaultRowHeight="12.75"/>
  <cols>
    <col min="1" max="1" width="3.421875" style="0" bestFit="1" customWidth="1"/>
    <col min="2" max="2" width="24.7109375" style="0" customWidth="1"/>
    <col min="3" max="3" width="6.28125" style="0" bestFit="1" customWidth="1"/>
    <col min="4" max="4" width="4.7109375" style="0" bestFit="1" customWidth="1"/>
    <col min="5" max="5" width="9.421875" style="0" bestFit="1" customWidth="1"/>
    <col min="6" max="6" width="4.00390625" style="0" bestFit="1" customWidth="1"/>
    <col min="7" max="7" width="16.8515625" style="0" customWidth="1"/>
    <col min="8" max="8" width="7.8515625" style="0" bestFit="1" customWidth="1"/>
    <col min="9" max="9" width="10.421875" style="0" bestFit="1" customWidth="1"/>
    <col min="10" max="10" width="5.7109375" style="0" bestFit="1" customWidth="1"/>
    <col min="11" max="12" width="5.57421875" style="0" bestFit="1" customWidth="1"/>
    <col min="13" max="13" width="6.00390625" style="0" bestFit="1" customWidth="1"/>
    <col min="14" max="14" width="5.57421875" style="0" bestFit="1" customWidth="1"/>
    <col min="15" max="15" width="7.8515625" style="0" bestFit="1" customWidth="1"/>
    <col min="16" max="17" width="3.8515625" style="0" bestFit="1" customWidth="1"/>
  </cols>
  <sheetData>
    <row r="1" ht="12.75">
      <c r="A1" s="8" t="s">
        <v>40</v>
      </c>
    </row>
    <row r="3" spans="2:7" ht="12.75">
      <c r="B3" t="s">
        <v>0</v>
      </c>
      <c r="C3" s="60" t="s">
        <v>43</v>
      </c>
      <c r="D3" s="60"/>
      <c r="E3" s="60"/>
      <c r="F3" s="60"/>
      <c r="G3" s="60"/>
    </row>
    <row r="4" spans="2:7" ht="12.75">
      <c r="B4" t="s">
        <v>1</v>
      </c>
      <c r="C4" s="60"/>
      <c r="D4" s="60"/>
      <c r="E4" s="58"/>
      <c r="F4" s="58"/>
      <c r="G4" s="58"/>
    </row>
    <row r="5" spans="2:7" ht="12.75">
      <c r="B5" t="s">
        <v>42</v>
      </c>
      <c r="C5" s="58"/>
      <c r="D5" s="59"/>
      <c r="E5" s="59"/>
      <c r="F5" s="59"/>
      <c r="G5" s="59"/>
    </row>
    <row r="6" spans="2:7" ht="12.75">
      <c r="B6" t="s">
        <v>2</v>
      </c>
      <c r="C6" s="58"/>
      <c r="D6" s="59"/>
      <c r="E6" s="59"/>
      <c r="F6" s="59"/>
      <c r="G6" s="59"/>
    </row>
    <row r="7" spans="2:7" ht="12.75">
      <c r="B7" t="s">
        <v>3</v>
      </c>
      <c r="C7" s="58"/>
      <c r="D7" s="59"/>
      <c r="E7" s="59"/>
      <c r="F7" s="59"/>
      <c r="G7" s="59"/>
    </row>
    <row r="8" spans="2:7" ht="12.75">
      <c r="B8" s="24"/>
      <c r="C8" s="25"/>
      <c r="D8" s="25"/>
      <c r="E8" s="25"/>
      <c r="F8" s="25"/>
      <c r="G8" s="25"/>
    </row>
    <row r="9" spans="2:7" ht="12.75">
      <c r="B9" t="s">
        <v>41</v>
      </c>
      <c r="C9" s="58">
        <v>3</v>
      </c>
      <c r="D9" s="59"/>
      <c r="E9" s="59"/>
      <c r="F9" s="59"/>
      <c r="G9" s="59"/>
    </row>
    <row r="10" ht="12.75">
      <c r="C10" s="3"/>
    </row>
    <row r="11" spans="2:3" ht="12.75">
      <c r="B11" s="1" t="s">
        <v>10</v>
      </c>
      <c r="C11" s="2" t="str">
        <f>IF(CONCATENATE(1/10,"")="0.1",IF(C12=100,"0.00","0.000"),IF(C12=100,"0,00","0,000"))</f>
        <v>0,000</v>
      </c>
    </row>
    <row r="12" spans="2:3" ht="12.75">
      <c r="B12" t="s">
        <v>11</v>
      </c>
      <c r="C12">
        <f>10^C9</f>
        <v>1000</v>
      </c>
    </row>
    <row r="14" spans="1:14" ht="12.75">
      <c r="A14" t="s">
        <v>4</v>
      </c>
      <c r="B14" t="s">
        <v>5</v>
      </c>
      <c r="C14" t="s">
        <v>6</v>
      </c>
      <c r="D14" t="s">
        <v>7</v>
      </c>
      <c r="E14" t="s">
        <v>8</v>
      </c>
      <c r="F14" t="s">
        <v>9</v>
      </c>
      <c r="G14" t="s">
        <v>39</v>
      </c>
      <c r="H14" t="str">
        <f aca="true" t="shared" si="0" ref="H14:M14">D87</f>
        <v>Pkt.</v>
      </c>
      <c r="I14" t="str">
        <f t="shared" si="0"/>
        <v>B</v>
      </c>
      <c r="J14" t="str">
        <f t="shared" si="0"/>
        <v>A</v>
      </c>
      <c r="K14" t="str">
        <f t="shared" si="0"/>
        <v>D</v>
      </c>
      <c r="L14" t="str">
        <f t="shared" si="0"/>
        <v>HS</v>
      </c>
      <c r="M14" t="str">
        <f t="shared" si="0"/>
        <v>BED</v>
      </c>
      <c r="N14" t="s">
        <v>38</v>
      </c>
    </row>
    <row r="15" spans="1:14" ht="12.75">
      <c r="A15">
        <v>1</v>
      </c>
      <c r="B15" s="9" t="str">
        <f>'[1]Gruppeneinteilung'!$B$14</f>
        <v>Andreas Volbracht</v>
      </c>
      <c r="C15" s="9" t="str">
        <f>'[1]Gruppeneinteilung'!$D$14</f>
        <v>BA Berlin</v>
      </c>
      <c r="D15" s="9">
        <f>'[1]Gruppeneinteilung'!$E$14</f>
        <v>0.7</v>
      </c>
      <c r="E15" s="9" t="str">
        <f>'[1]Gruppeneinteilung'!$C$14</f>
        <v>Volbracht</v>
      </c>
      <c r="F15" s="9">
        <v>1</v>
      </c>
      <c r="G15" t="str">
        <f aca="true" t="shared" si="1" ref="G15:G20">IF(ISNUMBER(D15),CONCATENATE(C15," - ",TEXT(D15,C$11)),C15)</f>
        <v>BA Berlin - 0,700</v>
      </c>
      <c r="H15">
        <f aca="true" t="shared" si="2" ref="H15:M20">D88</f>
        <v>6</v>
      </c>
      <c r="I15">
        <f t="shared" si="2"/>
        <v>138</v>
      </c>
      <c r="J15">
        <f t="shared" si="2"/>
        <v>220</v>
      </c>
      <c r="K15" t="str">
        <f t="shared" si="2"/>
        <v>0,627</v>
      </c>
      <c r="L15">
        <f t="shared" si="2"/>
        <v>4</v>
      </c>
      <c r="M15" t="str">
        <f t="shared" si="2"/>
        <v>0,789</v>
      </c>
      <c r="N15">
        <f aca="true" t="shared" si="3" ref="N15:N20">N88</f>
        <v>2</v>
      </c>
    </row>
    <row r="16" spans="1:14" ht="12.75">
      <c r="A16">
        <v>2</v>
      </c>
      <c r="B16" s="9" t="str">
        <f>'[1]Gruppeneinteilung'!$B$15</f>
        <v>Erwin Schwinning</v>
      </c>
      <c r="C16" s="9" t="str">
        <f>'[1]Gruppeneinteilung'!$D$15</f>
        <v>AGB Xanten</v>
      </c>
      <c r="D16" s="9">
        <f>'[1]Gruppeneinteilung'!$E$15</f>
        <v>0.67</v>
      </c>
      <c r="E16" s="9" t="str">
        <f>'[1]Gruppeneinteilung'!$C$15</f>
        <v>Schwinning</v>
      </c>
      <c r="F16" s="9">
        <v>2</v>
      </c>
      <c r="G16" t="str">
        <f t="shared" si="1"/>
        <v>AGB Xanten - 0,670</v>
      </c>
      <c r="H16">
        <f t="shared" si="2"/>
        <v>6</v>
      </c>
      <c r="I16">
        <f t="shared" si="2"/>
        <v>105</v>
      </c>
      <c r="J16">
        <f t="shared" si="2"/>
        <v>235</v>
      </c>
      <c r="K16" t="str">
        <f t="shared" si="2"/>
        <v>0,446</v>
      </c>
      <c r="L16">
        <f t="shared" si="2"/>
        <v>6</v>
      </c>
      <c r="M16" t="str">
        <f t="shared" si="2"/>
        <v>0,638</v>
      </c>
      <c r="N16">
        <f t="shared" si="3"/>
        <v>4</v>
      </c>
    </row>
    <row r="17" spans="1:14" ht="12.75">
      <c r="A17">
        <v>3</v>
      </c>
      <c r="B17" s="9" t="str">
        <f>'[1]Gruppeneinteilung'!$B$16</f>
        <v>Gerd Krümmel</v>
      </c>
      <c r="C17" s="9" t="str">
        <f>'[1]Gruppeneinteilung'!$D$16</f>
        <v>BSV Velbert</v>
      </c>
      <c r="D17" s="9">
        <f>'[1]Gruppeneinteilung'!$E$16</f>
        <v>0.58</v>
      </c>
      <c r="E17" s="9" t="str">
        <f>'[1]Gruppeneinteilung'!$C$16</f>
        <v>Krümmel</v>
      </c>
      <c r="F17" s="9">
        <v>3</v>
      </c>
      <c r="G17" t="str">
        <f t="shared" si="1"/>
        <v>BSV Velbert - 0,580</v>
      </c>
      <c r="H17">
        <f t="shared" si="2"/>
        <v>8</v>
      </c>
      <c r="I17">
        <f t="shared" si="2"/>
        <v>146</v>
      </c>
      <c r="J17">
        <f t="shared" si="2"/>
        <v>198</v>
      </c>
      <c r="K17" t="str">
        <f t="shared" si="2"/>
        <v>0,737</v>
      </c>
      <c r="L17">
        <f t="shared" si="2"/>
        <v>4</v>
      </c>
      <c r="M17" t="str">
        <f t="shared" si="2"/>
        <v>0,967</v>
      </c>
      <c r="N17">
        <f t="shared" si="3"/>
        <v>1</v>
      </c>
    </row>
    <row r="18" spans="1:14" ht="12.75">
      <c r="A18">
        <v>4</v>
      </c>
      <c r="B18" s="9" t="str">
        <f>'[1]Gruppeneinteilung'!$B$17</f>
        <v>Klaus Richter</v>
      </c>
      <c r="C18" s="9" t="str">
        <f>'[1]Gruppeneinteilung'!$D$17</f>
        <v>BG Hamburg</v>
      </c>
      <c r="D18" s="9">
        <f>'[1]Gruppeneinteilung'!$E$17</f>
        <v>0.53</v>
      </c>
      <c r="E18" s="9" t="str">
        <f>'[1]Gruppeneinteilung'!$C$17</f>
        <v>Richter</v>
      </c>
      <c r="F18" s="9">
        <v>4</v>
      </c>
      <c r="G18" t="str">
        <f t="shared" si="1"/>
        <v>BG Hamburg - 0,530</v>
      </c>
      <c r="H18">
        <f t="shared" si="2"/>
        <v>6</v>
      </c>
      <c r="I18">
        <f t="shared" si="2"/>
        <v>113</v>
      </c>
      <c r="J18">
        <f t="shared" si="2"/>
        <v>231</v>
      </c>
      <c r="K18" t="str">
        <f t="shared" si="2"/>
        <v>0,489</v>
      </c>
      <c r="L18">
        <f t="shared" si="2"/>
        <v>3</v>
      </c>
      <c r="M18" t="str">
        <f t="shared" si="2"/>
        <v>0,580</v>
      </c>
      <c r="N18">
        <f t="shared" si="3"/>
        <v>3</v>
      </c>
    </row>
    <row r="19" spans="1:14" ht="12.75">
      <c r="A19">
        <v>5</v>
      </c>
      <c r="B19" s="9" t="str">
        <f>'[1]Gruppeneinteilung'!$B$18</f>
        <v>Klaus Prächtel</v>
      </c>
      <c r="C19" s="9" t="str">
        <f>'[1]Gruppeneinteilung'!$D$18</f>
        <v>BG RW Krefeld</v>
      </c>
      <c r="D19" s="9">
        <f>'[1]Gruppeneinteilung'!$E$18</f>
        <v>0.51</v>
      </c>
      <c r="E19" s="9" t="str">
        <f>'[1]Gruppeneinteilung'!$C$18</f>
        <v>Prächtel</v>
      </c>
      <c r="F19" s="9">
        <v>5</v>
      </c>
      <c r="G19" t="str">
        <f t="shared" si="1"/>
        <v>BG RW Krefeld - 0,510</v>
      </c>
      <c r="H19">
        <f t="shared" si="2"/>
        <v>4</v>
      </c>
      <c r="I19">
        <f t="shared" si="2"/>
        <v>111</v>
      </c>
      <c r="J19">
        <f t="shared" si="2"/>
        <v>226</v>
      </c>
      <c r="K19" t="str">
        <f t="shared" si="2"/>
        <v>0,491</v>
      </c>
      <c r="L19">
        <f t="shared" si="2"/>
        <v>5</v>
      </c>
      <c r="M19" t="str">
        <f t="shared" si="2"/>
        <v>0,638</v>
      </c>
      <c r="N19">
        <f t="shared" si="3"/>
        <v>5</v>
      </c>
    </row>
    <row r="20" spans="1:14" ht="12.75">
      <c r="A20">
        <v>6</v>
      </c>
      <c r="B20" s="9" t="str">
        <f>'[1]Gruppeneinteilung'!$B$19</f>
        <v>Frank Spruzina</v>
      </c>
      <c r="C20" s="9" t="str">
        <f>'[1]Gruppeneinteilung'!$D$19</f>
        <v>VfV Hildesheim</v>
      </c>
      <c r="D20" s="9">
        <f>'[1]Gruppeneinteilung'!$E$19</f>
        <v>0.38</v>
      </c>
      <c r="E20" s="9" t="str">
        <f>'[1]Gruppeneinteilung'!$C$19</f>
        <v>Spruzina</v>
      </c>
      <c r="F20" s="9">
        <v>6</v>
      </c>
      <c r="G20" t="str">
        <f t="shared" si="1"/>
        <v>VfV Hildesheim - 0,380</v>
      </c>
      <c r="H20">
        <f t="shared" si="2"/>
        <v>0</v>
      </c>
      <c r="I20">
        <f t="shared" si="2"/>
        <v>76</v>
      </c>
      <c r="J20">
        <f t="shared" si="2"/>
        <v>222</v>
      </c>
      <c r="K20" t="str">
        <f t="shared" si="2"/>
        <v>0,342</v>
      </c>
      <c r="L20">
        <f t="shared" si="2"/>
        <v>4</v>
      </c>
      <c r="M20" t="str">
        <f t="shared" si="2"/>
        <v>-</v>
      </c>
      <c r="N20">
        <f t="shared" si="3"/>
        <v>6</v>
      </c>
    </row>
    <row r="22" spans="1:17" ht="12.75">
      <c r="A22" t="s">
        <v>12</v>
      </c>
      <c r="B22" t="s">
        <v>15</v>
      </c>
      <c r="C22" t="s">
        <v>20</v>
      </c>
      <c r="D22" t="s">
        <v>17</v>
      </c>
      <c r="E22" t="s">
        <v>18</v>
      </c>
      <c r="F22" t="s">
        <v>19</v>
      </c>
      <c r="G22" t="s">
        <v>7</v>
      </c>
      <c r="H22" t="s">
        <v>25</v>
      </c>
      <c r="I22" t="s">
        <v>16</v>
      </c>
      <c r="J22" t="s">
        <v>21</v>
      </c>
      <c r="K22" t="s">
        <v>17</v>
      </c>
      <c r="L22" t="s">
        <v>18</v>
      </c>
      <c r="M22" t="s">
        <v>19</v>
      </c>
      <c r="N22" t="s">
        <v>7</v>
      </c>
      <c r="O22" t="s">
        <v>26</v>
      </c>
      <c r="P22" t="s">
        <v>13</v>
      </c>
      <c r="Q22" t="s">
        <v>14</v>
      </c>
    </row>
    <row r="23" spans="1:17" ht="12.75">
      <c r="A23">
        <v>1</v>
      </c>
      <c r="B23" t="str">
        <f aca="true" t="shared" si="4" ref="B23:B37">VLOOKUP(P23,$A$15:$E$20,5,FALSE)</f>
        <v>Krümmel</v>
      </c>
      <c r="C23">
        <f>10*P23+Q23</f>
        <v>34</v>
      </c>
      <c r="D23" s="9">
        <v>30</v>
      </c>
      <c r="E23" s="9">
        <v>31</v>
      </c>
      <c r="F23" s="9">
        <v>3</v>
      </c>
      <c r="G23" s="4" t="str">
        <f aca="true" t="shared" si="5" ref="G23:G37">IF(E23=0,"-",TEXT(INT(D23/E23*$C$12)/$C$12,$C$11))</f>
        <v>0,967</v>
      </c>
      <c r="H23" s="5">
        <f aca="true" t="shared" si="6" ref="H23:H37">IF(E23&gt;0,IF(D23&gt;K23,2,IF(D23&lt;K23,0,1)),0)</f>
        <v>2</v>
      </c>
      <c r="I23" t="str">
        <f aca="true" t="shared" si="7" ref="I23:I37">VLOOKUP(Q23,$A$15:$E$20,5,FALSE)</f>
        <v>Richter</v>
      </c>
      <c r="J23">
        <f aca="true" t="shared" si="8" ref="J23:J37">10*Q23+P23</f>
        <v>43</v>
      </c>
      <c r="K23" s="9">
        <v>17</v>
      </c>
      <c r="L23">
        <f aca="true" t="shared" si="9" ref="L23:L37">E23</f>
        <v>31</v>
      </c>
      <c r="M23" s="9">
        <v>3</v>
      </c>
      <c r="N23" s="4" t="str">
        <f aca="true" t="shared" si="10" ref="N23:N37">IF(L23=0,"-",TEXT(INT(K23/L23*$C$12)/$C$12,$C$11))</f>
        <v>0,548</v>
      </c>
      <c r="O23">
        <f aca="true" t="shared" si="11" ref="O23:O37">IF(E23&gt;0,2-H23,0)</f>
        <v>0</v>
      </c>
      <c r="P23" s="23">
        <v>3</v>
      </c>
      <c r="Q23" s="23">
        <v>4</v>
      </c>
    </row>
    <row r="24" spans="1:17" ht="12.75">
      <c r="A24">
        <v>2</v>
      </c>
      <c r="B24" t="str">
        <f t="shared" si="4"/>
        <v>Schwinning</v>
      </c>
      <c r="C24">
        <f>10*P24+Q24</f>
        <v>25</v>
      </c>
      <c r="D24" s="9">
        <v>16</v>
      </c>
      <c r="E24" s="9">
        <v>50</v>
      </c>
      <c r="F24" s="9">
        <v>3</v>
      </c>
      <c r="G24" s="4" t="str">
        <f t="shared" si="5"/>
        <v>0,320</v>
      </c>
      <c r="H24" s="5">
        <f t="shared" si="6"/>
        <v>0</v>
      </c>
      <c r="I24" t="str">
        <f t="shared" si="7"/>
        <v>Prächtel</v>
      </c>
      <c r="J24">
        <f t="shared" si="8"/>
        <v>52</v>
      </c>
      <c r="K24" s="9">
        <v>18</v>
      </c>
      <c r="L24">
        <f t="shared" si="9"/>
        <v>50</v>
      </c>
      <c r="M24" s="9">
        <v>3</v>
      </c>
      <c r="N24" s="4" t="str">
        <f t="shared" si="10"/>
        <v>0,360</v>
      </c>
      <c r="O24">
        <f t="shared" si="11"/>
        <v>2</v>
      </c>
      <c r="P24" s="23">
        <v>2</v>
      </c>
      <c r="Q24" s="23">
        <v>5</v>
      </c>
    </row>
    <row r="25" spans="1:17" ht="12.75">
      <c r="A25">
        <v>3</v>
      </c>
      <c r="B25" t="str">
        <f t="shared" si="4"/>
        <v>Volbracht</v>
      </c>
      <c r="C25">
        <f>10*P25+Q25</f>
        <v>16</v>
      </c>
      <c r="D25" s="9">
        <v>30</v>
      </c>
      <c r="E25" s="9">
        <v>38</v>
      </c>
      <c r="F25" s="9">
        <v>4</v>
      </c>
      <c r="G25" s="4" t="str">
        <f t="shared" si="5"/>
        <v>0,789</v>
      </c>
      <c r="H25" s="5">
        <f t="shared" si="6"/>
        <v>2</v>
      </c>
      <c r="I25" t="str">
        <f t="shared" si="7"/>
        <v>Spruzina</v>
      </c>
      <c r="J25">
        <f t="shared" si="8"/>
        <v>61</v>
      </c>
      <c r="K25" s="9">
        <v>7</v>
      </c>
      <c r="L25">
        <f t="shared" si="9"/>
        <v>38</v>
      </c>
      <c r="M25" s="9">
        <v>2</v>
      </c>
      <c r="N25" s="4" t="str">
        <f t="shared" si="10"/>
        <v>0,184</v>
      </c>
      <c r="O25">
        <f t="shared" si="11"/>
        <v>0</v>
      </c>
      <c r="P25" s="23">
        <v>1</v>
      </c>
      <c r="Q25" s="23">
        <v>6</v>
      </c>
    </row>
    <row r="26" spans="1:17" ht="12.75">
      <c r="A26">
        <v>4</v>
      </c>
      <c r="B26" t="str">
        <f t="shared" si="4"/>
        <v>Schwinning</v>
      </c>
      <c r="C26">
        <f aca="true" t="shared" si="12" ref="C26:C36">10*P26+Q26</f>
        <v>24</v>
      </c>
      <c r="D26" s="9">
        <v>28</v>
      </c>
      <c r="E26" s="9">
        <v>50</v>
      </c>
      <c r="F26" s="9">
        <v>6</v>
      </c>
      <c r="G26" s="4" t="str">
        <f t="shared" si="5"/>
        <v>0,560</v>
      </c>
      <c r="H26" s="5">
        <f t="shared" si="6"/>
        <v>2</v>
      </c>
      <c r="I26" t="str">
        <f t="shared" si="7"/>
        <v>Richter</v>
      </c>
      <c r="J26">
        <f t="shared" si="8"/>
        <v>42</v>
      </c>
      <c r="K26" s="9">
        <v>20</v>
      </c>
      <c r="L26">
        <f t="shared" si="9"/>
        <v>50</v>
      </c>
      <c r="M26" s="9">
        <v>3</v>
      </c>
      <c r="N26" s="4" t="str">
        <f t="shared" si="10"/>
        <v>0,400</v>
      </c>
      <c r="O26">
        <f t="shared" si="11"/>
        <v>0</v>
      </c>
      <c r="P26" s="23">
        <v>2</v>
      </c>
      <c r="Q26" s="23">
        <v>4</v>
      </c>
    </row>
    <row r="27" spans="1:17" ht="12.75">
      <c r="A27">
        <v>5</v>
      </c>
      <c r="B27" t="str">
        <f t="shared" si="4"/>
        <v>Krümmel</v>
      </c>
      <c r="C27">
        <f t="shared" si="12"/>
        <v>36</v>
      </c>
      <c r="D27" s="9">
        <v>30</v>
      </c>
      <c r="E27" s="9">
        <v>37</v>
      </c>
      <c r="F27" s="9">
        <v>4</v>
      </c>
      <c r="G27" s="4" t="str">
        <f t="shared" si="5"/>
        <v>0,810</v>
      </c>
      <c r="H27" s="5">
        <f t="shared" si="6"/>
        <v>2</v>
      </c>
      <c r="I27" t="str">
        <f t="shared" si="7"/>
        <v>Spruzina</v>
      </c>
      <c r="J27">
        <f t="shared" si="8"/>
        <v>63</v>
      </c>
      <c r="K27" s="9">
        <v>18</v>
      </c>
      <c r="L27">
        <f t="shared" si="9"/>
        <v>37</v>
      </c>
      <c r="M27" s="9">
        <v>4</v>
      </c>
      <c r="N27" s="4" t="str">
        <f t="shared" si="10"/>
        <v>0,486</v>
      </c>
      <c r="O27">
        <f t="shared" si="11"/>
        <v>0</v>
      </c>
      <c r="P27" s="23">
        <v>3</v>
      </c>
      <c r="Q27" s="23">
        <v>6</v>
      </c>
    </row>
    <row r="28" spans="1:17" ht="12.75">
      <c r="A28">
        <v>6</v>
      </c>
      <c r="B28" t="str">
        <f t="shared" si="4"/>
        <v>Volbracht</v>
      </c>
      <c r="C28">
        <f t="shared" si="12"/>
        <v>15</v>
      </c>
      <c r="D28" s="9">
        <v>30</v>
      </c>
      <c r="E28" s="9">
        <v>45</v>
      </c>
      <c r="F28" s="9">
        <v>3</v>
      </c>
      <c r="G28" s="4" t="str">
        <f t="shared" si="5"/>
        <v>0,666</v>
      </c>
      <c r="H28" s="5">
        <f t="shared" si="6"/>
        <v>2</v>
      </c>
      <c r="I28" t="str">
        <f t="shared" si="7"/>
        <v>Prächtel</v>
      </c>
      <c r="J28">
        <f t="shared" si="8"/>
        <v>51</v>
      </c>
      <c r="K28" s="9">
        <v>23</v>
      </c>
      <c r="L28">
        <f t="shared" si="9"/>
        <v>45</v>
      </c>
      <c r="M28" s="9">
        <v>4</v>
      </c>
      <c r="N28" s="4" t="str">
        <f t="shared" si="10"/>
        <v>0,511</v>
      </c>
      <c r="O28">
        <f t="shared" si="11"/>
        <v>0</v>
      </c>
      <c r="P28" s="23">
        <v>1</v>
      </c>
      <c r="Q28" s="23">
        <v>5</v>
      </c>
    </row>
    <row r="29" spans="1:17" ht="12.75">
      <c r="A29">
        <v>7</v>
      </c>
      <c r="B29" t="str">
        <f t="shared" si="4"/>
        <v>Prächtel</v>
      </c>
      <c r="C29">
        <f t="shared" si="12"/>
        <v>56</v>
      </c>
      <c r="D29" s="9">
        <v>30</v>
      </c>
      <c r="E29" s="9">
        <v>47</v>
      </c>
      <c r="F29" s="9">
        <v>5</v>
      </c>
      <c r="G29" s="4" t="str">
        <f t="shared" si="5"/>
        <v>0,638</v>
      </c>
      <c r="H29" s="5">
        <f t="shared" si="6"/>
        <v>2</v>
      </c>
      <c r="I29" t="str">
        <f t="shared" si="7"/>
        <v>Spruzina</v>
      </c>
      <c r="J29">
        <f t="shared" si="8"/>
        <v>65</v>
      </c>
      <c r="K29" s="9">
        <v>20</v>
      </c>
      <c r="L29">
        <f t="shared" si="9"/>
        <v>47</v>
      </c>
      <c r="M29" s="9">
        <v>4</v>
      </c>
      <c r="N29" s="4" t="str">
        <f t="shared" si="10"/>
        <v>0,425</v>
      </c>
      <c r="O29">
        <f t="shared" si="11"/>
        <v>0</v>
      </c>
      <c r="P29" s="23">
        <v>5</v>
      </c>
      <c r="Q29" s="23">
        <v>6</v>
      </c>
    </row>
    <row r="30" spans="1:17" ht="12.75">
      <c r="A30">
        <v>8</v>
      </c>
      <c r="B30" t="str">
        <f t="shared" si="4"/>
        <v>Schwinning</v>
      </c>
      <c r="C30">
        <f t="shared" si="12"/>
        <v>23</v>
      </c>
      <c r="D30" s="9">
        <v>30</v>
      </c>
      <c r="E30" s="9">
        <v>47</v>
      </c>
      <c r="F30" s="9">
        <v>4</v>
      </c>
      <c r="G30" s="4" t="str">
        <f t="shared" si="5"/>
        <v>0,638</v>
      </c>
      <c r="H30" s="5">
        <f t="shared" si="6"/>
        <v>2</v>
      </c>
      <c r="I30" t="str">
        <f t="shared" si="7"/>
        <v>Krümmel</v>
      </c>
      <c r="J30">
        <f t="shared" si="8"/>
        <v>32</v>
      </c>
      <c r="K30" s="9">
        <v>26</v>
      </c>
      <c r="L30">
        <f t="shared" si="9"/>
        <v>47</v>
      </c>
      <c r="M30" s="9">
        <v>3</v>
      </c>
      <c r="N30" s="4" t="str">
        <f t="shared" si="10"/>
        <v>0,553</v>
      </c>
      <c r="O30">
        <f t="shared" si="11"/>
        <v>0</v>
      </c>
      <c r="P30" s="23">
        <v>2</v>
      </c>
      <c r="Q30" s="23">
        <v>3</v>
      </c>
    </row>
    <row r="31" spans="1:17" ht="12.75">
      <c r="A31">
        <v>9</v>
      </c>
      <c r="B31" t="str">
        <f t="shared" si="4"/>
        <v>Volbracht</v>
      </c>
      <c r="C31">
        <f t="shared" si="12"/>
        <v>14</v>
      </c>
      <c r="D31" s="9">
        <v>19</v>
      </c>
      <c r="E31" s="9">
        <v>50</v>
      </c>
      <c r="F31" s="9">
        <v>3</v>
      </c>
      <c r="G31" s="4" t="str">
        <f t="shared" si="5"/>
        <v>0,380</v>
      </c>
      <c r="H31" s="5">
        <f t="shared" si="6"/>
        <v>0</v>
      </c>
      <c r="I31" t="str">
        <f t="shared" si="7"/>
        <v>Richter</v>
      </c>
      <c r="J31">
        <f t="shared" si="8"/>
        <v>41</v>
      </c>
      <c r="K31" s="9">
        <v>21</v>
      </c>
      <c r="L31">
        <f t="shared" si="9"/>
        <v>50</v>
      </c>
      <c r="M31" s="9">
        <v>3</v>
      </c>
      <c r="N31" s="4" t="str">
        <f t="shared" si="10"/>
        <v>0,420</v>
      </c>
      <c r="O31">
        <f t="shared" si="11"/>
        <v>2</v>
      </c>
      <c r="P31" s="23">
        <v>1</v>
      </c>
      <c r="Q31" s="23">
        <v>4</v>
      </c>
    </row>
    <row r="32" spans="1:17" ht="12.75">
      <c r="A32">
        <v>10</v>
      </c>
      <c r="B32" t="str">
        <f t="shared" si="4"/>
        <v>Schwinning</v>
      </c>
      <c r="C32">
        <f t="shared" si="12"/>
        <v>26</v>
      </c>
      <c r="D32" s="9">
        <v>22</v>
      </c>
      <c r="E32" s="9">
        <v>50</v>
      </c>
      <c r="F32" s="9">
        <v>3</v>
      </c>
      <c r="G32" s="4" t="str">
        <f t="shared" si="5"/>
        <v>0,440</v>
      </c>
      <c r="H32" s="5">
        <f t="shared" si="6"/>
        <v>2</v>
      </c>
      <c r="I32" t="str">
        <f t="shared" si="7"/>
        <v>Spruzina</v>
      </c>
      <c r="J32">
        <f t="shared" si="8"/>
        <v>62</v>
      </c>
      <c r="K32" s="9">
        <v>15</v>
      </c>
      <c r="L32">
        <f t="shared" si="9"/>
        <v>50</v>
      </c>
      <c r="M32" s="9">
        <v>2</v>
      </c>
      <c r="N32" s="4" t="str">
        <f t="shared" si="10"/>
        <v>0,300</v>
      </c>
      <c r="O32">
        <f t="shared" si="11"/>
        <v>0</v>
      </c>
      <c r="P32" s="23">
        <v>2</v>
      </c>
      <c r="Q32" s="23">
        <v>6</v>
      </c>
    </row>
    <row r="33" spans="1:17" ht="12.75">
      <c r="A33">
        <v>11</v>
      </c>
      <c r="B33" t="str">
        <f t="shared" si="4"/>
        <v>Richter</v>
      </c>
      <c r="C33">
        <f t="shared" si="12"/>
        <v>45</v>
      </c>
      <c r="D33" s="9">
        <v>29</v>
      </c>
      <c r="E33" s="9">
        <v>50</v>
      </c>
      <c r="F33" s="9">
        <v>3</v>
      </c>
      <c r="G33" s="4" t="str">
        <f t="shared" si="5"/>
        <v>0,580</v>
      </c>
      <c r="H33" s="5">
        <f t="shared" si="6"/>
        <v>2</v>
      </c>
      <c r="I33" t="str">
        <f t="shared" si="7"/>
        <v>Prächtel</v>
      </c>
      <c r="J33">
        <f t="shared" si="8"/>
        <v>54</v>
      </c>
      <c r="K33" s="9">
        <v>21</v>
      </c>
      <c r="L33">
        <f t="shared" si="9"/>
        <v>50</v>
      </c>
      <c r="M33" s="9">
        <v>3</v>
      </c>
      <c r="N33" s="4" t="str">
        <f t="shared" si="10"/>
        <v>0,420</v>
      </c>
      <c r="O33">
        <f t="shared" si="11"/>
        <v>0</v>
      </c>
      <c r="P33" s="23">
        <v>4</v>
      </c>
      <c r="Q33" s="23">
        <v>5</v>
      </c>
    </row>
    <row r="34" spans="1:17" ht="12.75">
      <c r="A34">
        <v>12</v>
      </c>
      <c r="B34" t="str">
        <f t="shared" si="4"/>
        <v>Volbracht</v>
      </c>
      <c r="C34">
        <f t="shared" si="12"/>
        <v>13</v>
      </c>
      <c r="D34" s="9">
        <v>29</v>
      </c>
      <c r="E34" s="9">
        <v>49</v>
      </c>
      <c r="F34" s="9">
        <v>3</v>
      </c>
      <c r="G34" s="4" t="str">
        <f t="shared" si="5"/>
        <v>0,591</v>
      </c>
      <c r="H34" s="5">
        <f t="shared" si="6"/>
        <v>0</v>
      </c>
      <c r="I34" t="str">
        <f t="shared" si="7"/>
        <v>Krümmel</v>
      </c>
      <c r="J34">
        <f t="shared" si="8"/>
        <v>31</v>
      </c>
      <c r="K34" s="9">
        <v>30</v>
      </c>
      <c r="L34">
        <f t="shared" si="9"/>
        <v>49</v>
      </c>
      <c r="M34" s="9">
        <v>4</v>
      </c>
      <c r="N34" s="4" t="str">
        <f t="shared" si="10"/>
        <v>0,612</v>
      </c>
      <c r="O34">
        <f t="shared" si="11"/>
        <v>2</v>
      </c>
      <c r="P34" s="23">
        <v>1</v>
      </c>
      <c r="Q34" s="23">
        <v>3</v>
      </c>
    </row>
    <row r="35" spans="1:17" ht="12.75">
      <c r="A35">
        <v>13</v>
      </c>
      <c r="B35" t="str">
        <f t="shared" si="4"/>
        <v>Richter</v>
      </c>
      <c r="C35">
        <f t="shared" si="12"/>
        <v>46</v>
      </c>
      <c r="D35" s="9">
        <v>26</v>
      </c>
      <c r="E35" s="9">
        <v>50</v>
      </c>
      <c r="F35" s="9">
        <v>3</v>
      </c>
      <c r="G35" s="4" t="str">
        <f t="shared" si="5"/>
        <v>0,520</v>
      </c>
      <c r="H35" s="5">
        <f t="shared" si="6"/>
        <v>2</v>
      </c>
      <c r="I35" t="str">
        <f t="shared" si="7"/>
        <v>Spruzina</v>
      </c>
      <c r="J35">
        <f t="shared" si="8"/>
        <v>64</v>
      </c>
      <c r="K35" s="9">
        <v>16</v>
      </c>
      <c r="L35">
        <f t="shared" si="9"/>
        <v>50</v>
      </c>
      <c r="M35" s="9">
        <v>2</v>
      </c>
      <c r="N35" s="4" t="str">
        <f t="shared" si="10"/>
        <v>0,320</v>
      </c>
      <c r="O35">
        <f t="shared" si="11"/>
        <v>0</v>
      </c>
      <c r="P35" s="23">
        <v>4</v>
      </c>
      <c r="Q35" s="23">
        <v>6</v>
      </c>
    </row>
    <row r="36" spans="1:17" ht="12.75">
      <c r="A36">
        <v>14</v>
      </c>
      <c r="B36" t="str">
        <f t="shared" si="4"/>
        <v>Krümmel</v>
      </c>
      <c r="C36">
        <f t="shared" si="12"/>
        <v>35</v>
      </c>
      <c r="D36" s="9">
        <v>30</v>
      </c>
      <c r="E36" s="9">
        <v>34</v>
      </c>
      <c r="F36" s="9">
        <v>4</v>
      </c>
      <c r="G36" s="4" t="str">
        <f t="shared" si="5"/>
        <v>0,882</v>
      </c>
      <c r="H36" s="5">
        <f t="shared" si="6"/>
        <v>2</v>
      </c>
      <c r="I36" t="str">
        <f t="shared" si="7"/>
        <v>Prächtel</v>
      </c>
      <c r="J36">
        <f t="shared" si="8"/>
        <v>53</v>
      </c>
      <c r="K36" s="9">
        <v>19</v>
      </c>
      <c r="L36">
        <f t="shared" si="9"/>
        <v>34</v>
      </c>
      <c r="M36" s="9">
        <v>3</v>
      </c>
      <c r="N36" s="4" t="str">
        <f t="shared" si="10"/>
        <v>0,558</v>
      </c>
      <c r="O36">
        <f t="shared" si="11"/>
        <v>0</v>
      </c>
      <c r="P36" s="23">
        <v>3</v>
      </c>
      <c r="Q36" s="23">
        <v>5</v>
      </c>
    </row>
    <row r="37" spans="1:17" ht="12.75">
      <c r="A37">
        <v>15</v>
      </c>
      <c r="B37" t="str">
        <f t="shared" si="4"/>
        <v>Volbracht</v>
      </c>
      <c r="C37">
        <f>10*P37+Q37</f>
        <v>12</v>
      </c>
      <c r="D37" s="9">
        <v>30</v>
      </c>
      <c r="E37" s="9">
        <v>38</v>
      </c>
      <c r="F37" s="9">
        <v>4</v>
      </c>
      <c r="G37" s="4" t="str">
        <f t="shared" si="5"/>
        <v>0,789</v>
      </c>
      <c r="H37" s="5">
        <f t="shared" si="6"/>
        <v>2</v>
      </c>
      <c r="I37" t="str">
        <f t="shared" si="7"/>
        <v>Schwinning</v>
      </c>
      <c r="J37">
        <f t="shared" si="8"/>
        <v>21</v>
      </c>
      <c r="K37" s="9">
        <v>9</v>
      </c>
      <c r="L37">
        <f t="shared" si="9"/>
        <v>38</v>
      </c>
      <c r="M37" s="9">
        <v>3</v>
      </c>
      <c r="N37" s="4" t="str">
        <f t="shared" si="10"/>
        <v>0,236</v>
      </c>
      <c r="O37">
        <f t="shared" si="11"/>
        <v>0</v>
      </c>
      <c r="P37" s="23">
        <v>1</v>
      </c>
      <c r="Q37" s="23">
        <v>2</v>
      </c>
    </row>
    <row r="39" spans="1:9" ht="12.75">
      <c r="A39">
        <v>1</v>
      </c>
      <c r="B39" t="str">
        <f aca="true" t="shared" si="13" ref="B39:B44">VLOOKUP(A39,$A$15:$E$20,5,FALSE)</f>
        <v>Volbracht</v>
      </c>
      <c r="C39" t="s">
        <v>22</v>
      </c>
      <c r="D39" t="s">
        <v>17</v>
      </c>
      <c r="E39" t="s">
        <v>18</v>
      </c>
      <c r="F39" t="s">
        <v>19</v>
      </c>
      <c r="G39" t="s">
        <v>23</v>
      </c>
      <c r="H39" t="s">
        <v>24</v>
      </c>
      <c r="I39" t="s">
        <v>27</v>
      </c>
    </row>
    <row r="40" spans="1:9" ht="12.75">
      <c r="A40">
        <v>2</v>
      </c>
      <c r="B40" t="str">
        <f t="shared" si="13"/>
        <v>Schwinning</v>
      </c>
      <c r="C40">
        <f>10*A39+A40</f>
        <v>12</v>
      </c>
      <c r="D40">
        <f aca="true" t="shared" si="14" ref="D40:F44">SUMIF($C$23:$C$37,$C40,D$23:D$37)+SUMIF($J$23:$J$37,$C40,K$23:K$37)</f>
        <v>30</v>
      </c>
      <c r="E40">
        <f t="shared" si="14"/>
        <v>38</v>
      </c>
      <c r="F40">
        <f t="shared" si="14"/>
        <v>4</v>
      </c>
      <c r="G40" s="4" t="str">
        <f aca="true" t="shared" si="15" ref="G40:G45">IF(E40=0,"-",TEXT(INT(D40/E40*$C$12)/$C$12,$C$11))</f>
        <v>0,789</v>
      </c>
      <c r="H40">
        <f>SUMIF($C$23:$C$37,$C40,H$23:H$37)+SUMIF($J$23:$J$37,$C40,O$23:O$37)</f>
        <v>2</v>
      </c>
      <c r="I40" s="6">
        <f>IF(H40&gt;0,VALUE(G40),0)</f>
        <v>0.789</v>
      </c>
    </row>
    <row r="41" spans="1:9" ht="12.75">
      <c r="A41">
        <v>3</v>
      </c>
      <c r="B41" t="str">
        <f t="shared" si="13"/>
        <v>Krümmel</v>
      </c>
      <c r="C41">
        <f>10*A39+A41</f>
        <v>13</v>
      </c>
      <c r="D41">
        <f t="shared" si="14"/>
        <v>29</v>
      </c>
      <c r="E41">
        <f t="shared" si="14"/>
        <v>49</v>
      </c>
      <c r="F41">
        <f t="shared" si="14"/>
        <v>3</v>
      </c>
      <c r="G41" s="4" t="str">
        <f t="shared" si="15"/>
        <v>0,591</v>
      </c>
      <c r="H41">
        <f>SUMIF($C$23:$C$37,$C41,H$23:H$37)+SUMIF($J$23:$J$37,$C41,O$23:O$37)</f>
        <v>0</v>
      </c>
      <c r="I41" s="6">
        <f>IF(H41&gt;0,MAX(I40,VALUE(G41)),I40)</f>
        <v>0.789</v>
      </c>
    </row>
    <row r="42" spans="1:9" ht="12.75">
      <c r="A42">
        <v>4</v>
      </c>
      <c r="B42" t="str">
        <f t="shared" si="13"/>
        <v>Richter</v>
      </c>
      <c r="C42">
        <f>10*A39+A42</f>
        <v>14</v>
      </c>
      <c r="D42">
        <f t="shared" si="14"/>
        <v>19</v>
      </c>
      <c r="E42">
        <f t="shared" si="14"/>
        <v>50</v>
      </c>
      <c r="F42">
        <f t="shared" si="14"/>
        <v>3</v>
      </c>
      <c r="G42" s="4" t="str">
        <f t="shared" si="15"/>
        <v>0,380</v>
      </c>
      <c r="H42">
        <f>SUMIF($C$23:$C$37,$C42,H$23:H$37)+SUMIF($J$23:$J$37,$C42,O$23:O$37)</f>
        <v>0</v>
      </c>
      <c r="I42" s="6">
        <f>IF(H42&gt;0,MAX(I41,VALUE(G42)),I41)</f>
        <v>0.789</v>
      </c>
    </row>
    <row r="43" spans="1:9" ht="12.75">
      <c r="A43">
        <v>5</v>
      </c>
      <c r="B43" t="str">
        <f t="shared" si="13"/>
        <v>Prächtel</v>
      </c>
      <c r="C43">
        <f>10*A39+A43</f>
        <v>15</v>
      </c>
      <c r="D43">
        <f t="shared" si="14"/>
        <v>30</v>
      </c>
      <c r="E43">
        <f t="shared" si="14"/>
        <v>45</v>
      </c>
      <c r="F43">
        <f t="shared" si="14"/>
        <v>3</v>
      </c>
      <c r="G43" s="4" t="str">
        <f t="shared" si="15"/>
        <v>0,666</v>
      </c>
      <c r="H43">
        <f>SUMIF($C$23:$C$37,$C43,H$23:H$37)+SUMIF($J$23:$J$37,$C43,O$23:O$37)</f>
        <v>2</v>
      </c>
      <c r="I43" s="6">
        <f>IF(H43&gt;0,MAX(I42,VALUE(G43)),I42)</f>
        <v>0.789</v>
      </c>
    </row>
    <row r="44" spans="1:9" ht="12.75">
      <c r="A44">
        <v>6</v>
      </c>
      <c r="B44" t="str">
        <f t="shared" si="13"/>
        <v>Spruzina</v>
      </c>
      <c r="C44">
        <f>10*A39+A44</f>
        <v>16</v>
      </c>
      <c r="D44">
        <f t="shared" si="14"/>
        <v>30</v>
      </c>
      <c r="E44">
        <f t="shared" si="14"/>
        <v>38</v>
      </c>
      <c r="F44">
        <f t="shared" si="14"/>
        <v>4</v>
      </c>
      <c r="G44" s="4" t="str">
        <f t="shared" si="15"/>
        <v>0,789</v>
      </c>
      <c r="H44">
        <f>SUMIF($C$23:$C$37,$C44,H$23:H$37)+SUMIF($J$23:$J$37,$C44,O$23:O$37)</f>
        <v>2</v>
      </c>
      <c r="I44" s="6">
        <f>IF(H44&gt;0,MAX(I43,VALUE(G44)),I43)</f>
        <v>0.789</v>
      </c>
    </row>
    <row r="45" spans="3:10" ht="12.75">
      <c r="C45">
        <f>A39</f>
        <v>1</v>
      </c>
      <c r="D45">
        <f>SUM(D40:D44)</f>
        <v>138</v>
      </c>
      <c r="E45">
        <f>SUM(E40:E44)</f>
        <v>220</v>
      </c>
      <c r="F45">
        <f>MAX(F40:F44)</f>
        <v>4</v>
      </c>
      <c r="G45" s="4" t="str">
        <f t="shared" si="15"/>
        <v>0,627</v>
      </c>
      <c r="H45">
        <f>SUM(H40:H44)</f>
        <v>6</v>
      </c>
      <c r="I45" t="str">
        <f>IF(I44&gt;0,TEXT(I44,C$11),"-")</f>
        <v>0,789</v>
      </c>
      <c r="J45" s="1">
        <f>COUNTIF(E40:E44,"&lt;&gt;0")*2-H45</f>
        <v>4</v>
      </c>
    </row>
    <row r="47" spans="1:9" ht="12.75">
      <c r="A47">
        <v>2</v>
      </c>
      <c r="B47" t="str">
        <f aca="true" t="shared" si="16" ref="B47:B52">VLOOKUP(A47,$A$15:$E$20,5,FALSE)</f>
        <v>Schwinning</v>
      </c>
      <c r="C47" t="s">
        <v>22</v>
      </c>
      <c r="D47" t="s">
        <v>17</v>
      </c>
      <c r="E47" t="s">
        <v>18</v>
      </c>
      <c r="F47" t="s">
        <v>19</v>
      </c>
      <c r="G47" t="s">
        <v>23</v>
      </c>
      <c r="H47" t="s">
        <v>24</v>
      </c>
      <c r="I47" t="s">
        <v>27</v>
      </c>
    </row>
    <row r="48" spans="1:9" ht="12.75">
      <c r="A48">
        <v>1</v>
      </c>
      <c r="B48" t="str">
        <f t="shared" si="16"/>
        <v>Volbracht</v>
      </c>
      <c r="C48">
        <f>10*A47+A48</f>
        <v>21</v>
      </c>
      <c r="D48">
        <f aca="true" t="shared" si="17" ref="D48:F52">SUMIF($C$23:$C$37,$C48,D$23:D$37)+SUMIF($J$23:$J$37,$C48,K$23:K$37)</f>
        <v>9</v>
      </c>
      <c r="E48">
        <f t="shared" si="17"/>
        <v>38</v>
      </c>
      <c r="F48">
        <f t="shared" si="17"/>
        <v>3</v>
      </c>
      <c r="G48" s="4" t="str">
        <f aca="true" t="shared" si="18" ref="G48:G53">IF(E48=0,"-",TEXT(INT(D48/E48*$C$12)/$C$12,$C$11))</f>
        <v>0,236</v>
      </c>
      <c r="H48">
        <f>SUMIF($C$23:$C$37,$C48,H$23:H$37)+SUMIF($J$23:$J$37,$C48,O$23:O$37)</f>
        <v>0</v>
      </c>
      <c r="I48" s="6">
        <f>IF(H48&gt;0,VALUE(G48),0)</f>
        <v>0</v>
      </c>
    </row>
    <row r="49" spans="1:9" ht="12.75">
      <c r="A49">
        <v>3</v>
      </c>
      <c r="B49" t="str">
        <f t="shared" si="16"/>
        <v>Krümmel</v>
      </c>
      <c r="C49">
        <f>10*A47+A49</f>
        <v>23</v>
      </c>
      <c r="D49">
        <f t="shared" si="17"/>
        <v>30</v>
      </c>
      <c r="E49">
        <f t="shared" si="17"/>
        <v>47</v>
      </c>
      <c r="F49">
        <f t="shared" si="17"/>
        <v>4</v>
      </c>
      <c r="G49" s="4" t="str">
        <f t="shared" si="18"/>
        <v>0,638</v>
      </c>
      <c r="H49">
        <f>SUMIF($C$23:$C$37,$C49,H$23:H$37)+SUMIF($J$23:$J$37,$C49,O$23:O$37)</f>
        <v>2</v>
      </c>
      <c r="I49" s="6">
        <f>IF(H49&gt;0,MAX(I48,VALUE(G49)),I48)</f>
        <v>0.638</v>
      </c>
    </row>
    <row r="50" spans="1:9" ht="12.75">
      <c r="A50">
        <v>4</v>
      </c>
      <c r="B50" t="str">
        <f t="shared" si="16"/>
        <v>Richter</v>
      </c>
      <c r="C50">
        <f>10*A47+A50</f>
        <v>24</v>
      </c>
      <c r="D50">
        <f t="shared" si="17"/>
        <v>28</v>
      </c>
      <c r="E50">
        <f t="shared" si="17"/>
        <v>50</v>
      </c>
      <c r="F50">
        <f t="shared" si="17"/>
        <v>6</v>
      </c>
      <c r="G50" s="4" t="str">
        <f t="shared" si="18"/>
        <v>0,560</v>
      </c>
      <c r="H50">
        <f>SUMIF($C$23:$C$37,$C50,H$23:H$37)+SUMIF($J$23:$J$37,$C50,O$23:O$37)</f>
        <v>2</v>
      </c>
      <c r="I50" s="6">
        <f>IF(H50&gt;0,MAX(I49,VALUE(G50)),I49)</f>
        <v>0.638</v>
      </c>
    </row>
    <row r="51" spans="1:9" ht="12.75">
      <c r="A51">
        <v>5</v>
      </c>
      <c r="B51" t="str">
        <f t="shared" si="16"/>
        <v>Prächtel</v>
      </c>
      <c r="C51">
        <f>10*A47+A51</f>
        <v>25</v>
      </c>
      <c r="D51">
        <f t="shared" si="17"/>
        <v>16</v>
      </c>
      <c r="E51">
        <f t="shared" si="17"/>
        <v>50</v>
      </c>
      <c r="F51">
        <f t="shared" si="17"/>
        <v>3</v>
      </c>
      <c r="G51" s="4" t="str">
        <f t="shared" si="18"/>
        <v>0,320</v>
      </c>
      <c r="H51">
        <f>SUMIF($C$23:$C$37,$C51,H$23:H$37)+SUMIF($J$23:$J$37,$C51,O$23:O$37)</f>
        <v>0</v>
      </c>
      <c r="I51" s="6">
        <f>IF(H51&gt;0,MAX(I50,VALUE(G51)),I50)</f>
        <v>0.638</v>
      </c>
    </row>
    <row r="52" spans="1:9" ht="12.75">
      <c r="A52">
        <v>6</v>
      </c>
      <c r="B52" t="str">
        <f t="shared" si="16"/>
        <v>Spruzina</v>
      </c>
      <c r="C52">
        <f>10*A47+A52</f>
        <v>26</v>
      </c>
      <c r="D52">
        <f t="shared" si="17"/>
        <v>22</v>
      </c>
      <c r="E52">
        <f t="shared" si="17"/>
        <v>50</v>
      </c>
      <c r="F52">
        <f t="shared" si="17"/>
        <v>3</v>
      </c>
      <c r="G52" s="4" t="str">
        <f t="shared" si="18"/>
        <v>0,440</v>
      </c>
      <c r="H52">
        <f>SUMIF($C$23:$C$37,$C52,H$23:H$37)+SUMIF($J$23:$J$37,$C52,O$23:O$37)</f>
        <v>2</v>
      </c>
      <c r="I52" s="6">
        <f>IF(H52&gt;0,MAX(I51,VALUE(G52)),I51)</f>
        <v>0.638</v>
      </c>
    </row>
    <row r="53" spans="3:10" ht="12.75">
      <c r="C53">
        <f>A47</f>
        <v>2</v>
      </c>
      <c r="D53">
        <f>SUM(D48:D52)</f>
        <v>105</v>
      </c>
      <c r="E53">
        <f>SUM(E48:E52)</f>
        <v>235</v>
      </c>
      <c r="F53">
        <f>MAX(F48:F52)</f>
        <v>6</v>
      </c>
      <c r="G53" s="4" t="str">
        <f t="shared" si="18"/>
        <v>0,446</v>
      </c>
      <c r="H53">
        <f>SUM(H48:H52)</f>
        <v>6</v>
      </c>
      <c r="I53" t="str">
        <f>IF(I52&gt;0,TEXT(I52,C$11),"-")</f>
        <v>0,638</v>
      </c>
      <c r="J53" s="1">
        <f>COUNTIF(E48:E52,"&lt;&gt;0")*2-H53</f>
        <v>4</v>
      </c>
    </row>
    <row r="55" spans="1:9" ht="12.75">
      <c r="A55">
        <v>3</v>
      </c>
      <c r="B55" t="str">
        <f aca="true" t="shared" si="19" ref="B55:B60">VLOOKUP(A55,$A$15:$E$20,5,FALSE)</f>
        <v>Krümmel</v>
      </c>
      <c r="C55" t="s">
        <v>22</v>
      </c>
      <c r="D55" t="s">
        <v>17</v>
      </c>
      <c r="E55" t="s">
        <v>18</v>
      </c>
      <c r="F55" t="s">
        <v>19</v>
      </c>
      <c r="G55" t="s">
        <v>23</v>
      </c>
      <c r="H55" t="s">
        <v>24</v>
      </c>
      <c r="I55" t="s">
        <v>27</v>
      </c>
    </row>
    <row r="56" spans="1:9" ht="12.75">
      <c r="A56">
        <v>1</v>
      </c>
      <c r="B56" t="str">
        <f t="shared" si="19"/>
        <v>Volbracht</v>
      </c>
      <c r="C56">
        <f>10*A55+A56</f>
        <v>31</v>
      </c>
      <c r="D56">
        <f aca="true" t="shared" si="20" ref="D56:F60">SUMIF($C$23:$C$37,$C56,D$23:D$37)+SUMIF($J$23:$J$37,$C56,K$23:K$37)</f>
        <v>30</v>
      </c>
      <c r="E56">
        <f t="shared" si="20"/>
        <v>49</v>
      </c>
      <c r="F56">
        <f t="shared" si="20"/>
        <v>4</v>
      </c>
      <c r="G56" s="4" t="str">
        <f aca="true" t="shared" si="21" ref="G56:G61">IF(E56=0,"-",TEXT(INT(D56/E56*$C$12)/$C$12,$C$11))</f>
        <v>0,612</v>
      </c>
      <c r="H56">
        <f>SUMIF($C$23:$C$37,$C56,H$23:H$37)+SUMIF($J$23:$J$37,$C56,O$23:O$37)</f>
        <v>2</v>
      </c>
      <c r="I56" s="6">
        <f>IF(H56&gt;0,VALUE(G56),0)</f>
        <v>0.612</v>
      </c>
    </row>
    <row r="57" spans="1:9" ht="12.75">
      <c r="A57">
        <v>2</v>
      </c>
      <c r="B57" t="str">
        <f t="shared" si="19"/>
        <v>Schwinning</v>
      </c>
      <c r="C57">
        <f>10*A55+A57</f>
        <v>32</v>
      </c>
      <c r="D57">
        <f t="shared" si="20"/>
        <v>26</v>
      </c>
      <c r="E57">
        <f t="shared" si="20"/>
        <v>47</v>
      </c>
      <c r="F57">
        <f t="shared" si="20"/>
        <v>3</v>
      </c>
      <c r="G57" s="4" t="str">
        <f t="shared" si="21"/>
        <v>0,553</v>
      </c>
      <c r="H57">
        <f>SUMIF($C$23:$C$37,$C57,H$23:H$37)+SUMIF($J$23:$J$37,$C57,O$23:O$37)</f>
        <v>0</v>
      </c>
      <c r="I57" s="6">
        <f>IF(H57&gt;0,MAX(I56,VALUE(G57)),I56)</f>
        <v>0.612</v>
      </c>
    </row>
    <row r="58" spans="1:9" ht="12.75">
      <c r="A58">
        <v>4</v>
      </c>
      <c r="B58" t="str">
        <f t="shared" si="19"/>
        <v>Richter</v>
      </c>
      <c r="C58">
        <f>10*A55+A58</f>
        <v>34</v>
      </c>
      <c r="D58">
        <f t="shared" si="20"/>
        <v>30</v>
      </c>
      <c r="E58">
        <f t="shared" si="20"/>
        <v>31</v>
      </c>
      <c r="F58">
        <f t="shared" si="20"/>
        <v>3</v>
      </c>
      <c r="G58" s="4" t="str">
        <f t="shared" si="21"/>
        <v>0,967</v>
      </c>
      <c r="H58">
        <f>SUMIF($C$23:$C$37,$C58,H$23:H$37)+SUMIF($J$23:$J$37,$C58,O$23:O$37)</f>
        <v>2</v>
      </c>
      <c r="I58" s="6">
        <f>IF(H58&gt;0,MAX(I57,VALUE(G58)),I57)</f>
        <v>0.967</v>
      </c>
    </row>
    <row r="59" spans="1:9" ht="12.75">
      <c r="A59">
        <v>5</v>
      </c>
      <c r="B59" t="str">
        <f t="shared" si="19"/>
        <v>Prächtel</v>
      </c>
      <c r="C59">
        <f>10*A55+A59</f>
        <v>35</v>
      </c>
      <c r="D59">
        <f t="shared" si="20"/>
        <v>30</v>
      </c>
      <c r="E59">
        <f t="shared" si="20"/>
        <v>34</v>
      </c>
      <c r="F59">
        <f t="shared" si="20"/>
        <v>4</v>
      </c>
      <c r="G59" s="4" t="str">
        <f t="shared" si="21"/>
        <v>0,882</v>
      </c>
      <c r="H59">
        <f>SUMIF($C$23:$C$37,$C59,H$23:H$37)+SUMIF($J$23:$J$37,$C59,O$23:O$37)</f>
        <v>2</v>
      </c>
      <c r="I59" s="6">
        <f>IF(H59&gt;0,MAX(I58,VALUE(G59)),I58)</f>
        <v>0.967</v>
      </c>
    </row>
    <row r="60" spans="1:9" ht="12.75">
      <c r="A60">
        <v>6</v>
      </c>
      <c r="B60" t="str">
        <f t="shared" si="19"/>
        <v>Spruzina</v>
      </c>
      <c r="C60">
        <f>10*A55+A60</f>
        <v>36</v>
      </c>
      <c r="D60">
        <f t="shared" si="20"/>
        <v>30</v>
      </c>
      <c r="E60">
        <f t="shared" si="20"/>
        <v>37</v>
      </c>
      <c r="F60">
        <f t="shared" si="20"/>
        <v>4</v>
      </c>
      <c r="G60" s="4" t="str">
        <f t="shared" si="21"/>
        <v>0,810</v>
      </c>
      <c r="H60">
        <f>SUMIF($C$23:$C$37,$C60,H$23:H$37)+SUMIF($J$23:$J$37,$C60,O$23:O$37)</f>
        <v>2</v>
      </c>
      <c r="I60" s="6">
        <f>IF(H60&gt;0,MAX(I59,VALUE(G60)),I59)</f>
        <v>0.967</v>
      </c>
    </row>
    <row r="61" spans="3:10" ht="12.75">
      <c r="C61">
        <f>A55</f>
        <v>3</v>
      </c>
      <c r="D61">
        <f>SUM(D56:D60)</f>
        <v>146</v>
      </c>
      <c r="E61">
        <f>SUM(E56:E60)</f>
        <v>198</v>
      </c>
      <c r="F61">
        <f>MAX(F56:F60)</f>
        <v>4</v>
      </c>
      <c r="G61" s="4" t="str">
        <f t="shared" si="21"/>
        <v>0,737</v>
      </c>
      <c r="H61">
        <f>SUM(H56:H60)</f>
        <v>8</v>
      </c>
      <c r="I61" t="str">
        <f>IF(I60&gt;0,TEXT(I60,C$11),"-")</f>
        <v>0,967</v>
      </c>
      <c r="J61" s="1">
        <f>COUNTIF(E56:E60,"&lt;&gt;0")*2-H61</f>
        <v>2</v>
      </c>
    </row>
    <row r="62" spans="7:10" ht="12.75">
      <c r="G62" s="4"/>
      <c r="J62" s="1"/>
    </row>
    <row r="63" spans="1:9" ht="12.75">
      <c r="A63">
        <v>4</v>
      </c>
      <c r="B63" t="str">
        <f aca="true" t="shared" si="22" ref="B63:B68">VLOOKUP(A63,$A$15:$E$20,5,FALSE)</f>
        <v>Richter</v>
      </c>
      <c r="C63" t="s">
        <v>22</v>
      </c>
      <c r="D63" t="s">
        <v>17</v>
      </c>
      <c r="E63" t="s">
        <v>18</v>
      </c>
      <c r="F63" t="s">
        <v>19</v>
      </c>
      <c r="G63" t="s">
        <v>23</v>
      </c>
      <c r="H63" t="s">
        <v>24</v>
      </c>
      <c r="I63" t="s">
        <v>27</v>
      </c>
    </row>
    <row r="64" spans="1:9" ht="12.75">
      <c r="A64">
        <v>1</v>
      </c>
      <c r="B64" t="str">
        <f t="shared" si="22"/>
        <v>Volbracht</v>
      </c>
      <c r="C64">
        <f>10*A63+A64</f>
        <v>41</v>
      </c>
      <c r="D64">
        <f aca="true" t="shared" si="23" ref="D64:F68">SUMIF($C$23:$C$37,$C64,D$23:D$37)+SUMIF($J$23:$J$37,$C64,K$23:K$37)</f>
        <v>21</v>
      </c>
      <c r="E64">
        <f t="shared" si="23"/>
        <v>50</v>
      </c>
      <c r="F64">
        <f t="shared" si="23"/>
        <v>3</v>
      </c>
      <c r="G64" s="4" t="str">
        <f aca="true" t="shared" si="24" ref="G64:G69">IF(E64=0,"-",TEXT(INT(D64/E64*$C$12)/$C$12,$C$11))</f>
        <v>0,420</v>
      </c>
      <c r="H64">
        <f>SUMIF($C$23:$C$37,$C64,H$23:H$37)+SUMIF($J$23:$J$37,$C64,O$23:O$37)</f>
        <v>2</v>
      </c>
      <c r="I64" s="6">
        <f>IF(H64&gt;0,VALUE(G64),0)</f>
        <v>0.42</v>
      </c>
    </row>
    <row r="65" spans="1:9" ht="12.75">
      <c r="A65">
        <v>2</v>
      </c>
      <c r="B65" t="str">
        <f t="shared" si="22"/>
        <v>Schwinning</v>
      </c>
      <c r="C65">
        <f>10*A63+A65</f>
        <v>42</v>
      </c>
      <c r="D65">
        <f t="shared" si="23"/>
        <v>20</v>
      </c>
      <c r="E65">
        <f t="shared" si="23"/>
        <v>50</v>
      </c>
      <c r="F65">
        <f t="shared" si="23"/>
        <v>3</v>
      </c>
      <c r="G65" s="4" t="str">
        <f t="shared" si="24"/>
        <v>0,400</v>
      </c>
      <c r="H65">
        <f>SUMIF($C$23:$C$37,$C65,H$23:H$37)+SUMIF($J$23:$J$37,$C65,O$23:O$37)</f>
        <v>0</v>
      </c>
      <c r="I65" s="6">
        <f>IF(H65&gt;0,MAX(I64,VALUE(G65)),I64)</f>
        <v>0.42</v>
      </c>
    </row>
    <row r="66" spans="1:9" ht="12.75">
      <c r="A66">
        <v>3</v>
      </c>
      <c r="B66" t="str">
        <f t="shared" si="22"/>
        <v>Krümmel</v>
      </c>
      <c r="C66">
        <f>10*A63+A66</f>
        <v>43</v>
      </c>
      <c r="D66">
        <f t="shared" si="23"/>
        <v>17</v>
      </c>
      <c r="E66">
        <f t="shared" si="23"/>
        <v>31</v>
      </c>
      <c r="F66">
        <f t="shared" si="23"/>
        <v>3</v>
      </c>
      <c r="G66" s="4" t="str">
        <f t="shared" si="24"/>
        <v>0,548</v>
      </c>
      <c r="H66">
        <f>SUMIF($C$23:$C$37,$C66,H$23:H$37)+SUMIF($J$23:$J$37,$C66,O$23:O$37)</f>
        <v>0</v>
      </c>
      <c r="I66" s="6">
        <f>IF(H66&gt;0,MAX(I65,VALUE(G66)),I65)</f>
        <v>0.42</v>
      </c>
    </row>
    <row r="67" spans="1:9" ht="12.75">
      <c r="A67">
        <v>5</v>
      </c>
      <c r="B67" t="str">
        <f t="shared" si="22"/>
        <v>Prächtel</v>
      </c>
      <c r="C67">
        <f>10*A63+A67</f>
        <v>45</v>
      </c>
      <c r="D67">
        <f t="shared" si="23"/>
        <v>29</v>
      </c>
      <c r="E67">
        <f t="shared" si="23"/>
        <v>50</v>
      </c>
      <c r="F67">
        <f t="shared" si="23"/>
        <v>3</v>
      </c>
      <c r="G67" s="4" t="str">
        <f t="shared" si="24"/>
        <v>0,580</v>
      </c>
      <c r="H67">
        <f>SUMIF($C$23:$C$37,$C67,H$23:H$37)+SUMIF($J$23:$J$37,$C67,O$23:O$37)</f>
        <v>2</v>
      </c>
      <c r="I67" s="6">
        <f>IF(H67&gt;0,MAX(I66,VALUE(G67)),I66)</f>
        <v>0.58</v>
      </c>
    </row>
    <row r="68" spans="1:9" ht="12.75">
      <c r="A68">
        <v>6</v>
      </c>
      <c r="B68" t="str">
        <f t="shared" si="22"/>
        <v>Spruzina</v>
      </c>
      <c r="C68">
        <f>10*A63+A68</f>
        <v>46</v>
      </c>
      <c r="D68">
        <f t="shared" si="23"/>
        <v>26</v>
      </c>
      <c r="E68">
        <f t="shared" si="23"/>
        <v>50</v>
      </c>
      <c r="F68">
        <f t="shared" si="23"/>
        <v>3</v>
      </c>
      <c r="G68" s="4" t="str">
        <f t="shared" si="24"/>
        <v>0,520</v>
      </c>
      <c r="H68">
        <f>SUMIF($C$23:$C$37,$C68,H$23:H$37)+SUMIF($J$23:$J$37,$C68,O$23:O$37)</f>
        <v>2</v>
      </c>
      <c r="I68" s="6">
        <f>IF(H68&gt;0,MAX(I67,VALUE(G68)),I67)</f>
        <v>0.58</v>
      </c>
    </row>
    <row r="69" spans="3:10" ht="12.75">
      <c r="C69">
        <f>A63</f>
        <v>4</v>
      </c>
      <c r="D69">
        <f>SUM(D64:D68)</f>
        <v>113</v>
      </c>
      <c r="E69">
        <f>SUM(E64:E68)</f>
        <v>231</v>
      </c>
      <c r="F69">
        <f>MAX(F64:F68)</f>
        <v>3</v>
      </c>
      <c r="G69" s="4" t="str">
        <f t="shared" si="24"/>
        <v>0,489</v>
      </c>
      <c r="H69">
        <f>SUM(H64:H68)</f>
        <v>6</v>
      </c>
      <c r="I69" t="str">
        <f>IF(I68&gt;0,TEXT(I68,C$11),"-")</f>
        <v>0,580</v>
      </c>
      <c r="J69" s="1">
        <f>COUNTIF(E64:E68,"&lt;&gt;0")*2-H69</f>
        <v>4</v>
      </c>
    </row>
    <row r="70" spans="7:10" ht="12.75">
      <c r="G70" s="4"/>
      <c r="J70" s="1"/>
    </row>
    <row r="71" spans="1:9" ht="12.75">
      <c r="A71">
        <v>5</v>
      </c>
      <c r="B71" t="str">
        <f aca="true" t="shared" si="25" ref="B71:B76">VLOOKUP(A71,$A$15:$E$20,5,FALSE)</f>
        <v>Prächtel</v>
      </c>
      <c r="C71" t="s">
        <v>22</v>
      </c>
      <c r="D71" t="s">
        <v>17</v>
      </c>
      <c r="E71" t="s">
        <v>18</v>
      </c>
      <c r="F71" t="s">
        <v>19</v>
      </c>
      <c r="G71" t="s">
        <v>23</v>
      </c>
      <c r="H71" t="s">
        <v>24</v>
      </c>
      <c r="I71" t="s">
        <v>27</v>
      </c>
    </row>
    <row r="72" spans="1:9" ht="12.75">
      <c r="A72">
        <v>1</v>
      </c>
      <c r="B72" t="str">
        <f t="shared" si="25"/>
        <v>Volbracht</v>
      </c>
      <c r="C72">
        <f>10*A71+A72</f>
        <v>51</v>
      </c>
      <c r="D72">
        <f aca="true" t="shared" si="26" ref="D72:F76">SUMIF($C$23:$C$37,$C72,D$23:D$37)+SUMIF($J$23:$J$37,$C72,K$23:K$37)</f>
        <v>23</v>
      </c>
      <c r="E72">
        <f t="shared" si="26"/>
        <v>45</v>
      </c>
      <c r="F72">
        <f t="shared" si="26"/>
        <v>4</v>
      </c>
      <c r="G72" s="4" t="str">
        <f aca="true" t="shared" si="27" ref="G72:G77">IF(E72=0,"-",TEXT(INT(D72/E72*$C$12)/$C$12,$C$11))</f>
        <v>0,511</v>
      </c>
      <c r="H72">
        <f>SUMIF($C$23:$C$37,$C72,H$23:H$37)+SUMIF($J$23:$J$37,$C72,O$23:O$37)</f>
        <v>0</v>
      </c>
      <c r="I72" s="6">
        <f>IF(H72&gt;0,VALUE(G72),0)</f>
        <v>0</v>
      </c>
    </row>
    <row r="73" spans="1:9" ht="12.75">
      <c r="A73">
        <v>2</v>
      </c>
      <c r="B73" t="str">
        <f t="shared" si="25"/>
        <v>Schwinning</v>
      </c>
      <c r="C73">
        <f>10*A71+A73</f>
        <v>52</v>
      </c>
      <c r="D73">
        <f t="shared" si="26"/>
        <v>18</v>
      </c>
      <c r="E73">
        <f t="shared" si="26"/>
        <v>50</v>
      </c>
      <c r="F73">
        <f t="shared" si="26"/>
        <v>3</v>
      </c>
      <c r="G73" s="4" t="str">
        <f t="shared" si="27"/>
        <v>0,360</v>
      </c>
      <c r="H73">
        <f>SUMIF($C$23:$C$37,$C73,H$23:H$37)+SUMIF($J$23:$J$37,$C73,O$23:O$37)</f>
        <v>2</v>
      </c>
      <c r="I73" s="6">
        <f>IF(H73&gt;0,MAX(I72,VALUE(G73)),I72)</f>
        <v>0.36</v>
      </c>
    </row>
    <row r="74" spans="1:9" ht="12.75">
      <c r="A74">
        <v>3</v>
      </c>
      <c r="B74" t="str">
        <f t="shared" si="25"/>
        <v>Krümmel</v>
      </c>
      <c r="C74">
        <f>10*A71+A74</f>
        <v>53</v>
      </c>
      <c r="D74">
        <f t="shared" si="26"/>
        <v>19</v>
      </c>
      <c r="E74">
        <f t="shared" si="26"/>
        <v>34</v>
      </c>
      <c r="F74">
        <f t="shared" si="26"/>
        <v>3</v>
      </c>
      <c r="G74" s="4" t="str">
        <f t="shared" si="27"/>
        <v>0,558</v>
      </c>
      <c r="H74">
        <f>SUMIF($C$23:$C$37,$C74,H$23:H$37)+SUMIF($J$23:$J$37,$C74,O$23:O$37)</f>
        <v>0</v>
      </c>
      <c r="I74" s="6">
        <f>IF(H74&gt;0,MAX(I73,VALUE(G74)),I73)</f>
        <v>0.36</v>
      </c>
    </row>
    <row r="75" spans="1:9" ht="12.75">
      <c r="A75">
        <v>4</v>
      </c>
      <c r="B75" t="str">
        <f t="shared" si="25"/>
        <v>Richter</v>
      </c>
      <c r="C75">
        <f>10*A71+A75</f>
        <v>54</v>
      </c>
      <c r="D75">
        <f t="shared" si="26"/>
        <v>21</v>
      </c>
      <c r="E75">
        <f t="shared" si="26"/>
        <v>50</v>
      </c>
      <c r="F75">
        <f t="shared" si="26"/>
        <v>3</v>
      </c>
      <c r="G75" s="4" t="str">
        <f t="shared" si="27"/>
        <v>0,420</v>
      </c>
      <c r="H75">
        <f>SUMIF($C$23:$C$37,$C75,H$23:H$37)+SUMIF($J$23:$J$37,$C75,O$23:O$37)</f>
        <v>0</v>
      </c>
      <c r="I75" s="6">
        <f>IF(H75&gt;0,MAX(I74,VALUE(G75)),I74)</f>
        <v>0.36</v>
      </c>
    </row>
    <row r="76" spans="1:9" ht="12.75">
      <c r="A76">
        <v>6</v>
      </c>
      <c r="B76" t="str">
        <f t="shared" si="25"/>
        <v>Spruzina</v>
      </c>
      <c r="C76">
        <f>10*A71+A76</f>
        <v>56</v>
      </c>
      <c r="D76">
        <f t="shared" si="26"/>
        <v>30</v>
      </c>
      <c r="E76">
        <f t="shared" si="26"/>
        <v>47</v>
      </c>
      <c r="F76">
        <f t="shared" si="26"/>
        <v>5</v>
      </c>
      <c r="G76" s="4" t="str">
        <f t="shared" si="27"/>
        <v>0,638</v>
      </c>
      <c r="H76">
        <f>SUMIF($C$23:$C$37,$C76,H$23:H$37)+SUMIF($J$23:$J$37,$C76,O$23:O$37)</f>
        <v>2</v>
      </c>
      <c r="I76" s="6">
        <f>IF(H76&gt;0,MAX(I75,VALUE(G76)),I75)</f>
        <v>0.638</v>
      </c>
    </row>
    <row r="77" spans="3:10" ht="12.75">
      <c r="C77">
        <f>A71</f>
        <v>5</v>
      </c>
      <c r="D77">
        <f>SUM(D72:D76)</f>
        <v>111</v>
      </c>
      <c r="E77">
        <f>SUM(E72:E76)</f>
        <v>226</v>
      </c>
      <c r="F77">
        <f>MAX(F72:F76)</f>
        <v>5</v>
      </c>
      <c r="G77" s="4" t="str">
        <f t="shared" si="27"/>
        <v>0,491</v>
      </c>
      <c r="H77">
        <f>SUM(H72:H76)</f>
        <v>4</v>
      </c>
      <c r="I77" t="str">
        <f>IF(I76&gt;0,TEXT(I76,C$11),"-")</f>
        <v>0,638</v>
      </c>
      <c r="J77" s="1">
        <f>COUNTIF(E72:E76,"&lt;&gt;0")*2-H77</f>
        <v>6</v>
      </c>
    </row>
    <row r="78" spans="7:10" ht="12.75">
      <c r="G78" s="4"/>
      <c r="J78" s="1"/>
    </row>
    <row r="79" spans="1:9" ht="12.75">
      <c r="A79">
        <v>6</v>
      </c>
      <c r="B79" t="str">
        <f aca="true" t="shared" si="28" ref="B79:B84">VLOOKUP(A79,$A$15:$E$20,5,FALSE)</f>
        <v>Spruzina</v>
      </c>
      <c r="C79" t="s">
        <v>22</v>
      </c>
      <c r="D79" t="s">
        <v>17</v>
      </c>
      <c r="E79" t="s">
        <v>18</v>
      </c>
      <c r="F79" t="s">
        <v>19</v>
      </c>
      <c r="G79" t="s">
        <v>23</v>
      </c>
      <c r="H79" t="s">
        <v>24</v>
      </c>
      <c r="I79" t="s">
        <v>27</v>
      </c>
    </row>
    <row r="80" spans="1:9" ht="12.75">
      <c r="A80">
        <v>1</v>
      </c>
      <c r="B80" t="str">
        <f t="shared" si="28"/>
        <v>Volbracht</v>
      </c>
      <c r="C80">
        <f>10*A79+A80</f>
        <v>61</v>
      </c>
      <c r="D80">
        <f aca="true" t="shared" si="29" ref="D80:F84">SUMIF($C$23:$C$37,$C80,D$23:D$37)+SUMIF($J$23:$J$37,$C80,K$23:K$37)</f>
        <v>7</v>
      </c>
      <c r="E80">
        <f t="shared" si="29"/>
        <v>38</v>
      </c>
      <c r="F80">
        <f t="shared" si="29"/>
        <v>2</v>
      </c>
      <c r="G80" s="4" t="str">
        <f aca="true" t="shared" si="30" ref="G80:G85">IF(E80=0,"-",TEXT(INT(D80/E80*$C$12)/$C$12,$C$11))</f>
        <v>0,184</v>
      </c>
      <c r="H80">
        <f>SUMIF($C$23:$C$37,$C80,H$23:H$37)+SUMIF($J$23:$J$37,$C80,O$23:O$37)</f>
        <v>0</v>
      </c>
      <c r="I80" s="6">
        <f>IF(H80&gt;0,VALUE(G80),0)</f>
        <v>0</v>
      </c>
    </row>
    <row r="81" spans="1:9" ht="12.75">
      <c r="A81">
        <v>2</v>
      </c>
      <c r="B81" t="str">
        <f t="shared" si="28"/>
        <v>Schwinning</v>
      </c>
      <c r="C81">
        <f>10*A79+A81</f>
        <v>62</v>
      </c>
      <c r="D81">
        <f t="shared" si="29"/>
        <v>15</v>
      </c>
      <c r="E81">
        <f t="shared" si="29"/>
        <v>50</v>
      </c>
      <c r="F81">
        <f t="shared" si="29"/>
        <v>2</v>
      </c>
      <c r="G81" s="4" t="str">
        <f t="shared" si="30"/>
        <v>0,300</v>
      </c>
      <c r="H81">
        <f>SUMIF($C$23:$C$37,$C81,H$23:H$37)+SUMIF($J$23:$J$37,$C81,O$23:O$37)</f>
        <v>0</v>
      </c>
      <c r="I81" s="6">
        <f>IF(H81&gt;0,MAX(I80,VALUE(G81)),I80)</f>
        <v>0</v>
      </c>
    </row>
    <row r="82" spans="1:9" ht="12.75">
      <c r="A82">
        <v>3</v>
      </c>
      <c r="B82" t="str">
        <f t="shared" si="28"/>
        <v>Krümmel</v>
      </c>
      <c r="C82">
        <f>10*A79+A82</f>
        <v>63</v>
      </c>
      <c r="D82">
        <f t="shared" si="29"/>
        <v>18</v>
      </c>
      <c r="E82">
        <f t="shared" si="29"/>
        <v>37</v>
      </c>
      <c r="F82">
        <f t="shared" si="29"/>
        <v>4</v>
      </c>
      <c r="G82" s="4" t="str">
        <f t="shared" si="30"/>
        <v>0,486</v>
      </c>
      <c r="H82">
        <f>SUMIF($C$23:$C$37,$C82,H$23:H$37)+SUMIF($J$23:$J$37,$C82,O$23:O$37)</f>
        <v>0</v>
      </c>
      <c r="I82" s="6">
        <f>IF(H82&gt;0,MAX(I81,VALUE(G82)),I81)</f>
        <v>0</v>
      </c>
    </row>
    <row r="83" spans="1:9" ht="12.75">
      <c r="A83">
        <v>4</v>
      </c>
      <c r="B83" t="str">
        <f t="shared" si="28"/>
        <v>Richter</v>
      </c>
      <c r="C83">
        <f>10*A79+A83</f>
        <v>64</v>
      </c>
      <c r="D83">
        <f t="shared" si="29"/>
        <v>16</v>
      </c>
      <c r="E83">
        <f t="shared" si="29"/>
        <v>50</v>
      </c>
      <c r="F83">
        <f t="shared" si="29"/>
        <v>2</v>
      </c>
      <c r="G83" s="4" t="str">
        <f t="shared" si="30"/>
        <v>0,320</v>
      </c>
      <c r="H83">
        <f>SUMIF($C$23:$C$37,$C83,H$23:H$37)+SUMIF($J$23:$J$37,$C83,O$23:O$37)</f>
        <v>0</v>
      </c>
      <c r="I83" s="6">
        <f>IF(H83&gt;0,MAX(I82,VALUE(G83)),I82)</f>
        <v>0</v>
      </c>
    </row>
    <row r="84" spans="1:9" ht="12.75">
      <c r="A84">
        <v>5</v>
      </c>
      <c r="B84" t="str">
        <f t="shared" si="28"/>
        <v>Prächtel</v>
      </c>
      <c r="C84">
        <f>10*A79+A84</f>
        <v>65</v>
      </c>
      <c r="D84">
        <f t="shared" si="29"/>
        <v>20</v>
      </c>
      <c r="E84">
        <f t="shared" si="29"/>
        <v>47</v>
      </c>
      <c r="F84">
        <f t="shared" si="29"/>
        <v>4</v>
      </c>
      <c r="G84" s="4" t="str">
        <f t="shared" si="30"/>
        <v>0,425</v>
      </c>
      <c r="H84">
        <f>SUMIF($C$23:$C$37,$C84,H$23:H$37)+SUMIF($J$23:$J$37,$C84,O$23:O$37)</f>
        <v>0</v>
      </c>
      <c r="I84" s="6">
        <f>IF(H84&gt;0,MAX(I83,VALUE(G84)),I83)</f>
        <v>0</v>
      </c>
    </row>
    <row r="85" spans="3:10" ht="12.75">
      <c r="C85">
        <f>A79</f>
        <v>6</v>
      </c>
      <c r="D85">
        <f>SUM(D80:D84)</f>
        <v>76</v>
      </c>
      <c r="E85">
        <f>SUM(E80:E84)</f>
        <v>222</v>
      </c>
      <c r="F85">
        <f>MAX(F80:F84)</f>
        <v>4</v>
      </c>
      <c r="G85" s="4" t="str">
        <f t="shared" si="30"/>
        <v>0,342</v>
      </c>
      <c r="H85">
        <f>SUM(H80:H84)</f>
        <v>0</v>
      </c>
      <c r="I85" t="str">
        <f>IF(I84&gt;0,TEXT(I84,C$11),"-")</f>
        <v>-</v>
      </c>
      <c r="J85" s="1">
        <f>COUNTIF(E80:E84,"&lt;&gt;0")*2-H85</f>
        <v>10</v>
      </c>
    </row>
    <row r="86" spans="7:10" ht="12.75">
      <c r="G86" s="4"/>
      <c r="J86" s="1"/>
    </row>
    <row r="87" spans="1:16" ht="12.75">
      <c r="A87" s="1" t="s">
        <v>4</v>
      </c>
      <c r="B87" s="1" t="s">
        <v>5</v>
      </c>
      <c r="C87" s="1" t="s">
        <v>6</v>
      </c>
      <c r="D87" s="1" t="s">
        <v>28</v>
      </c>
      <c r="E87" s="1" t="s">
        <v>17</v>
      </c>
      <c r="F87" s="1" t="s">
        <v>18</v>
      </c>
      <c r="G87" s="1" t="s">
        <v>23</v>
      </c>
      <c r="H87" s="1" t="s">
        <v>19</v>
      </c>
      <c r="I87" s="1" t="s">
        <v>29</v>
      </c>
      <c r="J87" s="1" t="s">
        <v>30</v>
      </c>
      <c r="K87" s="1" t="s">
        <v>9</v>
      </c>
      <c r="L87" s="1" t="s">
        <v>31</v>
      </c>
      <c r="M87" s="1" t="s">
        <v>4</v>
      </c>
      <c r="N87" s="1" t="s">
        <v>38</v>
      </c>
      <c r="O87" s="1"/>
      <c r="P87" s="1"/>
    </row>
    <row r="88" spans="1:14" ht="12.75">
      <c r="A88">
        <v>1</v>
      </c>
      <c r="B88" t="str">
        <f aca="true" t="shared" si="31" ref="B88:C93">B15</f>
        <v>Andreas Volbracht</v>
      </c>
      <c r="C88" t="str">
        <f t="shared" si="31"/>
        <v>BA Berlin</v>
      </c>
      <c r="D88">
        <f aca="true" t="shared" si="32" ref="D88:D93">VLOOKUP($A88,$C$45:$J$86,6,FALSE)</f>
        <v>6</v>
      </c>
      <c r="E88">
        <f aca="true" t="shared" si="33" ref="E88:E93">VLOOKUP($A88,$C$45:$J$86,2,FALSE)</f>
        <v>138</v>
      </c>
      <c r="F88">
        <f aca="true" t="shared" si="34" ref="F88:F93">VLOOKUP($A88,$C$45:$J$86,3,FALSE)</f>
        <v>220</v>
      </c>
      <c r="G88" t="str">
        <f aca="true" t="shared" si="35" ref="G88:G93">VLOOKUP($A88,$C$45:$J$86,5,FALSE)</f>
        <v>0,627</v>
      </c>
      <c r="H88">
        <f aca="true" t="shared" si="36" ref="H88:H93">VLOOKUP($A88,$C$45:$J$86,4,FALSE)</f>
        <v>4</v>
      </c>
      <c r="I88" t="str">
        <f aca="true" t="shared" si="37" ref="I88:I93">VLOOKUP($A88,$C$45:$J$86,7,FALSE)</f>
        <v>0,789</v>
      </c>
      <c r="J88">
        <f aca="true" t="shared" si="38" ref="J88:J93">VLOOKUP($A88,$C$45:$J$86,8,FALSE)</f>
        <v>4</v>
      </c>
      <c r="K88">
        <f aca="true" t="shared" si="39" ref="K88:K93">F15</f>
        <v>1</v>
      </c>
      <c r="L88" s="7">
        <f aca="true" t="shared" si="40" ref="L88:L93">(14-D88)*100+J88+K88/1000000-IF(G88&lt;&gt;"-",G88,0)/1000</f>
        <v>803.999374</v>
      </c>
      <c r="M88">
        <f aca="true" t="shared" si="41" ref="M88:M93">A88</f>
        <v>1</v>
      </c>
      <c r="N88">
        <f aca="true" t="shared" si="42" ref="N88:N93">VLOOKUP(M88,K$96:L$101,2,FALSE)</f>
        <v>2</v>
      </c>
    </row>
    <row r="89" spans="1:14" ht="12.75">
      <c r="A89">
        <v>2</v>
      </c>
      <c r="B89" t="str">
        <f t="shared" si="31"/>
        <v>Erwin Schwinning</v>
      </c>
      <c r="C89" t="str">
        <f t="shared" si="31"/>
        <v>AGB Xanten</v>
      </c>
      <c r="D89">
        <f t="shared" si="32"/>
        <v>6</v>
      </c>
      <c r="E89">
        <f t="shared" si="33"/>
        <v>105</v>
      </c>
      <c r="F89">
        <f t="shared" si="34"/>
        <v>235</v>
      </c>
      <c r="G89" t="str">
        <f t="shared" si="35"/>
        <v>0,446</v>
      </c>
      <c r="H89">
        <f t="shared" si="36"/>
        <v>6</v>
      </c>
      <c r="I89" t="str">
        <f t="shared" si="37"/>
        <v>0,638</v>
      </c>
      <c r="J89">
        <f t="shared" si="38"/>
        <v>4</v>
      </c>
      <c r="K89">
        <f t="shared" si="39"/>
        <v>2</v>
      </c>
      <c r="L89" s="7">
        <f t="shared" si="40"/>
        <v>803.999556</v>
      </c>
      <c r="M89">
        <f t="shared" si="41"/>
        <v>2</v>
      </c>
      <c r="N89">
        <f t="shared" si="42"/>
        <v>4</v>
      </c>
    </row>
    <row r="90" spans="1:14" ht="12.75">
      <c r="A90">
        <v>3</v>
      </c>
      <c r="B90" t="str">
        <f t="shared" si="31"/>
        <v>Gerd Krümmel</v>
      </c>
      <c r="C90" t="str">
        <f t="shared" si="31"/>
        <v>BSV Velbert</v>
      </c>
      <c r="D90">
        <f t="shared" si="32"/>
        <v>8</v>
      </c>
      <c r="E90">
        <f t="shared" si="33"/>
        <v>146</v>
      </c>
      <c r="F90">
        <f t="shared" si="34"/>
        <v>198</v>
      </c>
      <c r="G90" t="str">
        <f t="shared" si="35"/>
        <v>0,737</v>
      </c>
      <c r="H90">
        <f t="shared" si="36"/>
        <v>4</v>
      </c>
      <c r="I90" t="str">
        <f t="shared" si="37"/>
        <v>0,967</v>
      </c>
      <c r="J90">
        <f t="shared" si="38"/>
        <v>2</v>
      </c>
      <c r="K90">
        <f t="shared" si="39"/>
        <v>3</v>
      </c>
      <c r="L90" s="7">
        <f t="shared" si="40"/>
        <v>601.999266</v>
      </c>
      <c r="M90">
        <f t="shared" si="41"/>
        <v>3</v>
      </c>
      <c r="N90">
        <f t="shared" si="42"/>
        <v>1</v>
      </c>
    </row>
    <row r="91" spans="1:14" ht="12.75">
      <c r="A91">
        <v>4</v>
      </c>
      <c r="B91" t="str">
        <f t="shared" si="31"/>
        <v>Klaus Richter</v>
      </c>
      <c r="C91" t="str">
        <f t="shared" si="31"/>
        <v>BG Hamburg</v>
      </c>
      <c r="D91">
        <f t="shared" si="32"/>
        <v>6</v>
      </c>
      <c r="E91">
        <f t="shared" si="33"/>
        <v>113</v>
      </c>
      <c r="F91">
        <f t="shared" si="34"/>
        <v>231</v>
      </c>
      <c r="G91" t="str">
        <f t="shared" si="35"/>
        <v>0,489</v>
      </c>
      <c r="H91">
        <f t="shared" si="36"/>
        <v>3</v>
      </c>
      <c r="I91" t="str">
        <f t="shared" si="37"/>
        <v>0,580</v>
      </c>
      <c r="J91">
        <f t="shared" si="38"/>
        <v>4</v>
      </c>
      <c r="K91">
        <f t="shared" si="39"/>
        <v>4</v>
      </c>
      <c r="L91" s="7">
        <f t="shared" si="40"/>
        <v>803.999515</v>
      </c>
      <c r="M91">
        <f t="shared" si="41"/>
        <v>4</v>
      </c>
      <c r="N91">
        <f t="shared" si="42"/>
        <v>3</v>
      </c>
    </row>
    <row r="92" spans="1:14" ht="12.75">
      <c r="A92">
        <v>5</v>
      </c>
      <c r="B92" t="str">
        <f t="shared" si="31"/>
        <v>Klaus Prächtel</v>
      </c>
      <c r="C92" t="str">
        <f t="shared" si="31"/>
        <v>BG RW Krefeld</v>
      </c>
      <c r="D92">
        <f t="shared" si="32"/>
        <v>4</v>
      </c>
      <c r="E92">
        <f t="shared" si="33"/>
        <v>111</v>
      </c>
      <c r="F92">
        <f t="shared" si="34"/>
        <v>226</v>
      </c>
      <c r="G92" t="str">
        <f t="shared" si="35"/>
        <v>0,491</v>
      </c>
      <c r="H92">
        <f t="shared" si="36"/>
        <v>5</v>
      </c>
      <c r="I92" t="str">
        <f t="shared" si="37"/>
        <v>0,638</v>
      </c>
      <c r="J92">
        <f t="shared" si="38"/>
        <v>6</v>
      </c>
      <c r="K92">
        <f t="shared" si="39"/>
        <v>5</v>
      </c>
      <c r="L92" s="7">
        <f t="shared" si="40"/>
        <v>1005.999514</v>
      </c>
      <c r="M92">
        <f t="shared" si="41"/>
        <v>5</v>
      </c>
      <c r="N92">
        <f t="shared" si="42"/>
        <v>5</v>
      </c>
    </row>
    <row r="93" spans="1:14" ht="12.75">
      <c r="A93">
        <v>6</v>
      </c>
      <c r="B93" t="str">
        <f t="shared" si="31"/>
        <v>Frank Spruzina</v>
      </c>
      <c r="C93" t="str">
        <f t="shared" si="31"/>
        <v>VfV Hildesheim</v>
      </c>
      <c r="D93">
        <f t="shared" si="32"/>
        <v>0</v>
      </c>
      <c r="E93">
        <f t="shared" si="33"/>
        <v>76</v>
      </c>
      <c r="F93">
        <f t="shared" si="34"/>
        <v>222</v>
      </c>
      <c r="G93" t="str">
        <f t="shared" si="35"/>
        <v>0,342</v>
      </c>
      <c r="H93">
        <f t="shared" si="36"/>
        <v>4</v>
      </c>
      <c r="I93" t="str">
        <f t="shared" si="37"/>
        <v>-</v>
      </c>
      <c r="J93">
        <f t="shared" si="38"/>
        <v>10</v>
      </c>
      <c r="K93">
        <f t="shared" si="39"/>
        <v>6</v>
      </c>
      <c r="L93" s="7">
        <f t="shared" si="40"/>
        <v>1409.999664</v>
      </c>
      <c r="M93">
        <f t="shared" si="41"/>
        <v>6</v>
      </c>
      <c r="N93">
        <f t="shared" si="42"/>
        <v>6</v>
      </c>
    </row>
    <row r="95" spans="1:13" ht="12.75">
      <c r="A95" s="1" t="s">
        <v>32</v>
      </c>
      <c r="B95" s="1" t="s">
        <v>5</v>
      </c>
      <c r="C95" s="1" t="s">
        <v>6</v>
      </c>
      <c r="D95" s="1" t="s">
        <v>28</v>
      </c>
      <c r="E95" s="1" t="s">
        <v>17</v>
      </c>
      <c r="F95" s="1" t="s">
        <v>18</v>
      </c>
      <c r="G95" s="1" t="s">
        <v>23</v>
      </c>
      <c r="H95" s="1" t="s">
        <v>19</v>
      </c>
      <c r="I95" s="1" t="s">
        <v>29</v>
      </c>
      <c r="K95" t="s">
        <v>33</v>
      </c>
      <c r="L95" t="s">
        <v>32</v>
      </c>
      <c r="M95" t="s">
        <v>29</v>
      </c>
    </row>
    <row r="96" spans="1:13" ht="12.75">
      <c r="A96">
        <v>1</v>
      </c>
      <c r="B96" t="str">
        <f aca="true" t="shared" si="43" ref="B96:B101">VLOOKUP($K96,$A$88:$I$93,2,FALSE)</f>
        <v>Gerd Krümmel</v>
      </c>
      <c r="C96" t="str">
        <f aca="true" t="shared" si="44" ref="C96:C101">VLOOKUP($K96,$A$88:$I$93,3,FALSE)</f>
        <v>BSV Velbert</v>
      </c>
      <c r="D96" s="1" t="str">
        <f aca="true" t="shared" si="45" ref="D96:D101">CONCATENATE(VLOOKUP(K96,A$88:J$93,4,FALSE)," : ",VLOOKUP(K96,A$88:J$93,10,FALSE))</f>
        <v>8 : 2</v>
      </c>
      <c r="E96">
        <f aca="true" t="shared" si="46" ref="E96:E101">VLOOKUP($K96,$A$88:$I$93,5,FALSE)</f>
        <v>146</v>
      </c>
      <c r="F96">
        <f aca="true" t="shared" si="47" ref="F96:F101">VLOOKUP($K96,$A$88:$I$93,6,FALSE)</f>
        <v>198</v>
      </c>
      <c r="G96" t="str">
        <f aca="true" t="shared" si="48" ref="G96:G101">VLOOKUP($K96,$A$88:$I$93,7,FALSE)</f>
        <v>0,737</v>
      </c>
      <c r="H96">
        <f aca="true" t="shared" si="49" ref="H96:H101">VLOOKUP($K96,$A$88:$I$93,8,FALSE)</f>
        <v>4</v>
      </c>
      <c r="I96" t="str">
        <f aca="true" t="shared" si="50" ref="I96:I101">VLOOKUP($K96,$A$88:$I$93,9,FALSE)</f>
        <v>0,967</v>
      </c>
      <c r="K96">
        <f aca="true" t="shared" si="51" ref="K96:K101">VLOOKUP(SMALL(L$88:L$93,L96),L$88:M$93,2,FALSE)</f>
        <v>3</v>
      </c>
      <c r="L96">
        <f aca="true" t="shared" si="52" ref="L96:L101">A96</f>
        <v>1</v>
      </c>
      <c r="M96">
        <f aca="true" t="shared" si="53" ref="M96:M101">IF(I96&lt;&gt;"-",VALUE(I96),0)</f>
        <v>0.967</v>
      </c>
    </row>
    <row r="97" spans="1:13" ht="12.75">
      <c r="A97">
        <v>2</v>
      </c>
      <c r="B97" t="str">
        <f t="shared" si="43"/>
        <v>Andreas Volbracht</v>
      </c>
      <c r="C97" t="str">
        <f t="shared" si="44"/>
        <v>BA Berlin</v>
      </c>
      <c r="D97" s="1" t="str">
        <f t="shared" si="45"/>
        <v>6 : 4</v>
      </c>
      <c r="E97">
        <f t="shared" si="46"/>
        <v>138</v>
      </c>
      <c r="F97">
        <f t="shared" si="47"/>
        <v>220</v>
      </c>
      <c r="G97" t="str">
        <f t="shared" si="48"/>
        <v>0,627</v>
      </c>
      <c r="H97">
        <f t="shared" si="49"/>
        <v>4</v>
      </c>
      <c r="I97" t="str">
        <f t="shared" si="50"/>
        <v>0,789</v>
      </c>
      <c r="K97">
        <f t="shared" si="51"/>
        <v>1</v>
      </c>
      <c r="L97">
        <f t="shared" si="52"/>
        <v>2</v>
      </c>
      <c r="M97">
        <f t="shared" si="53"/>
        <v>0.789</v>
      </c>
    </row>
    <row r="98" spans="1:13" ht="12.75">
      <c r="A98">
        <v>3</v>
      </c>
      <c r="B98" t="str">
        <f t="shared" si="43"/>
        <v>Klaus Richter</v>
      </c>
      <c r="C98" t="str">
        <f t="shared" si="44"/>
        <v>BG Hamburg</v>
      </c>
      <c r="D98" s="1" t="str">
        <f t="shared" si="45"/>
        <v>6 : 4</v>
      </c>
      <c r="E98">
        <f t="shared" si="46"/>
        <v>113</v>
      </c>
      <c r="F98">
        <f t="shared" si="47"/>
        <v>231</v>
      </c>
      <c r="G98" t="str">
        <f t="shared" si="48"/>
        <v>0,489</v>
      </c>
      <c r="H98">
        <f t="shared" si="49"/>
        <v>3</v>
      </c>
      <c r="I98" t="str">
        <f t="shared" si="50"/>
        <v>0,580</v>
      </c>
      <c r="K98">
        <f t="shared" si="51"/>
        <v>4</v>
      </c>
      <c r="L98">
        <f t="shared" si="52"/>
        <v>3</v>
      </c>
      <c r="M98">
        <f t="shared" si="53"/>
        <v>0.58</v>
      </c>
    </row>
    <row r="99" spans="1:13" ht="12.75">
      <c r="A99">
        <v>4</v>
      </c>
      <c r="B99" t="str">
        <f t="shared" si="43"/>
        <v>Erwin Schwinning</v>
      </c>
      <c r="C99" t="str">
        <f t="shared" si="44"/>
        <v>AGB Xanten</v>
      </c>
      <c r="D99" s="1" t="str">
        <f t="shared" si="45"/>
        <v>6 : 4</v>
      </c>
      <c r="E99">
        <f t="shared" si="46"/>
        <v>105</v>
      </c>
      <c r="F99">
        <f t="shared" si="47"/>
        <v>235</v>
      </c>
      <c r="G99" t="str">
        <f t="shared" si="48"/>
        <v>0,446</v>
      </c>
      <c r="H99">
        <f t="shared" si="49"/>
        <v>6</v>
      </c>
      <c r="I99" t="str">
        <f t="shared" si="50"/>
        <v>0,638</v>
      </c>
      <c r="K99">
        <f t="shared" si="51"/>
        <v>2</v>
      </c>
      <c r="L99">
        <f t="shared" si="52"/>
        <v>4</v>
      </c>
      <c r="M99">
        <f t="shared" si="53"/>
        <v>0.638</v>
      </c>
    </row>
    <row r="100" spans="1:13" ht="12.75">
      <c r="A100">
        <v>5</v>
      </c>
      <c r="B100" t="str">
        <f t="shared" si="43"/>
        <v>Klaus Prächtel</v>
      </c>
      <c r="C100" t="str">
        <f t="shared" si="44"/>
        <v>BG RW Krefeld</v>
      </c>
      <c r="D100" s="1" t="str">
        <f t="shared" si="45"/>
        <v>4 : 6</v>
      </c>
      <c r="E100">
        <f t="shared" si="46"/>
        <v>111</v>
      </c>
      <c r="F100">
        <f t="shared" si="47"/>
        <v>226</v>
      </c>
      <c r="G100" t="str">
        <f t="shared" si="48"/>
        <v>0,491</v>
      </c>
      <c r="H100">
        <f t="shared" si="49"/>
        <v>5</v>
      </c>
      <c r="I100" t="str">
        <f t="shared" si="50"/>
        <v>0,638</v>
      </c>
      <c r="K100">
        <f t="shared" si="51"/>
        <v>5</v>
      </c>
      <c r="L100">
        <f t="shared" si="52"/>
        <v>5</v>
      </c>
      <c r="M100">
        <f t="shared" si="53"/>
        <v>0.638</v>
      </c>
    </row>
    <row r="101" spans="1:13" ht="12.75">
      <c r="A101">
        <v>6</v>
      </c>
      <c r="B101" t="str">
        <f t="shared" si="43"/>
        <v>Frank Spruzina</v>
      </c>
      <c r="C101" t="str">
        <f t="shared" si="44"/>
        <v>VfV Hildesheim</v>
      </c>
      <c r="D101" s="1" t="str">
        <f t="shared" si="45"/>
        <v>0 : 10</v>
      </c>
      <c r="E101">
        <f t="shared" si="46"/>
        <v>76</v>
      </c>
      <c r="F101">
        <f t="shared" si="47"/>
        <v>222</v>
      </c>
      <c r="G101" t="str">
        <f t="shared" si="48"/>
        <v>0,342</v>
      </c>
      <c r="H101">
        <f t="shared" si="49"/>
        <v>4</v>
      </c>
      <c r="I101" t="str">
        <f t="shared" si="50"/>
        <v>-</v>
      </c>
      <c r="K101">
        <f t="shared" si="51"/>
        <v>6</v>
      </c>
      <c r="L101">
        <f t="shared" si="52"/>
        <v>6</v>
      </c>
      <c r="M101">
        <f t="shared" si="53"/>
        <v>0</v>
      </c>
    </row>
    <row r="102" ht="12.75">
      <c r="M102" t="str">
        <f>TEXT(MAX(M96:M101),C11)</f>
        <v>0,967</v>
      </c>
    </row>
    <row r="104" spans="2:13" ht="12.75">
      <c r="B104">
        <v>1</v>
      </c>
      <c r="C104">
        <v>1</v>
      </c>
      <c r="D104">
        <v>2</v>
      </c>
      <c r="E104">
        <v>2</v>
      </c>
      <c r="F104">
        <v>3</v>
      </c>
      <c r="G104">
        <v>3</v>
      </c>
      <c r="H104">
        <v>4</v>
      </c>
      <c r="I104">
        <v>4</v>
      </c>
      <c r="J104">
        <v>5</v>
      </c>
      <c r="K104">
        <v>5</v>
      </c>
      <c r="L104">
        <v>6</v>
      </c>
      <c r="M104">
        <v>6</v>
      </c>
    </row>
    <row r="105" spans="1:13" ht="12.75">
      <c r="A105">
        <v>1</v>
      </c>
      <c r="D105">
        <f aca="true" t="shared" si="54" ref="C105:M116">$A105*10+D$104</f>
        <v>12</v>
      </c>
      <c r="E105">
        <f t="shared" si="54"/>
        <v>12</v>
      </c>
      <c r="F105">
        <f t="shared" si="54"/>
        <v>13</v>
      </c>
      <c r="G105">
        <f t="shared" si="54"/>
        <v>13</v>
      </c>
      <c r="H105">
        <f t="shared" si="54"/>
        <v>14</v>
      </c>
      <c r="I105">
        <f t="shared" si="54"/>
        <v>14</v>
      </c>
      <c r="J105">
        <f t="shared" si="54"/>
        <v>15</v>
      </c>
      <c r="K105">
        <f t="shared" si="54"/>
        <v>15</v>
      </c>
      <c r="L105">
        <f t="shared" si="54"/>
        <v>16</v>
      </c>
      <c r="M105">
        <f t="shared" si="54"/>
        <v>16</v>
      </c>
    </row>
    <row r="106" spans="1:13" ht="12.75">
      <c r="A106">
        <v>1</v>
      </c>
      <c r="D106">
        <f t="shared" si="54"/>
        <v>12</v>
      </c>
      <c r="E106">
        <f t="shared" si="54"/>
        <v>12</v>
      </c>
      <c r="F106">
        <f t="shared" si="54"/>
        <v>13</v>
      </c>
      <c r="G106">
        <f t="shared" si="54"/>
        <v>13</v>
      </c>
      <c r="H106">
        <f t="shared" si="54"/>
        <v>14</v>
      </c>
      <c r="I106">
        <f t="shared" si="54"/>
        <v>14</v>
      </c>
      <c r="J106">
        <f t="shared" si="54"/>
        <v>15</v>
      </c>
      <c r="K106">
        <f t="shared" si="54"/>
        <v>15</v>
      </c>
      <c r="L106">
        <f t="shared" si="54"/>
        <v>16</v>
      </c>
      <c r="M106">
        <f t="shared" si="54"/>
        <v>16</v>
      </c>
    </row>
    <row r="107" spans="1:13" ht="12.75">
      <c r="A107">
        <v>2</v>
      </c>
      <c r="B107">
        <f aca="true" t="shared" si="55" ref="B107:B116">$A107*10+B$104</f>
        <v>21</v>
      </c>
      <c r="C107">
        <f t="shared" si="54"/>
        <v>21</v>
      </c>
      <c r="F107">
        <f t="shared" si="54"/>
        <v>23</v>
      </c>
      <c r="G107">
        <f t="shared" si="54"/>
        <v>23</v>
      </c>
      <c r="H107">
        <f t="shared" si="54"/>
        <v>24</v>
      </c>
      <c r="I107">
        <f t="shared" si="54"/>
        <v>24</v>
      </c>
      <c r="J107">
        <f t="shared" si="54"/>
        <v>25</v>
      </c>
      <c r="K107">
        <f t="shared" si="54"/>
        <v>25</v>
      </c>
      <c r="L107">
        <f t="shared" si="54"/>
        <v>26</v>
      </c>
      <c r="M107">
        <f t="shared" si="54"/>
        <v>26</v>
      </c>
    </row>
    <row r="108" spans="1:13" ht="12.75">
      <c r="A108">
        <v>2</v>
      </c>
      <c r="B108">
        <f t="shared" si="55"/>
        <v>21</v>
      </c>
      <c r="C108">
        <f t="shared" si="54"/>
        <v>21</v>
      </c>
      <c r="F108">
        <f t="shared" si="54"/>
        <v>23</v>
      </c>
      <c r="G108">
        <f t="shared" si="54"/>
        <v>23</v>
      </c>
      <c r="H108">
        <f t="shared" si="54"/>
        <v>24</v>
      </c>
      <c r="I108">
        <f t="shared" si="54"/>
        <v>24</v>
      </c>
      <c r="J108">
        <f t="shared" si="54"/>
        <v>25</v>
      </c>
      <c r="K108">
        <f t="shared" si="54"/>
        <v>25</v>
      </c>
      <c r="L108">
        <f t="shared" si="54"/>
        <v>26</v>
      </c>
      <c r="M108">
        <f t="shared" si="54"/>
        <v>26</v>
      </c>
    </row>
    <row r="109" spans="1:13" ht="12.75">
      <c r="A109">
        <v>3</v>
      </c>
      <c r="B109">
        <f t="shared" si="55"/>
        <v>31</v>
      </c>
      <c r="C109">
        <f t="shared" si="54"/>
        <v>31</v>
      </c>
      <c r="D109">
        <f t="shared" si="54"/>
        <v>32</v>
      </c>
      <c r="E109">
        <f t="shared" si="54"/>
        <v>32</v>
      </c>
      <c r="H109">
        <f t="shared" si="54"/>
        <v>34</v>
      </c>
      <c r="I109">
        <f t="shared" si="54"/>
        <v>34</v>
      </c>
      <c r="J109">
        <f t="shared" si="54"/>
        <v>35</v>
      </c>
      <c r="K109">
        <f t="shared" si="54"/>
        <v>35</v>
      </c>
      <c r="L109">
        <f t="shared" si="54"/>
        <v>36</v>
      </c>
      <c r="M109">
        <f t="shared" si="54"/>
        <v>36</v>
      </c>
    </row>
    <row r="110" spans="1:13" ht="12.75">
      <c r="A110">
        <v>3</v>
      </c>
      <c r="B110">
        <f t="shared" si="55"/>
        <v>31</v>
      </c>
      <c r="C110">
        <f t="shared" si="54"/>
        <v>31</v>
      </c>
      <c r="D110">
        <f t="shared" si="54"/>
        <v>32</v>
      </c>
      <c r="E110">
        <f t="shared" si="54"/>
        <v>32</v>
      </c>
      <c r="H110">
        <f t="shared" si="54"/>
        <v>34</v>
      </c>
      <c r="I110">
        <f t="shared" si="54"/>
        <v>34</v>
      </c>
      <c r="J110">
        <f t="shared" si="54"/>
        <v>35</v>
      </c>
      <c r="K110">
        <f t="shared" si="54"/>
        <v>35</v>
      </c>
      <c r="L110">
        <f t="shared" si="54"/>
        <v>36</v>
      </c>
      <c r="M110">
        <f t="shared" si="54"/>
        <v>36</v>
      </c>
    </row>
    <row r="111" spans="1:13" ht="12.75">
      <c r="A111">
        <v>4</v>
      </c>
      <c r="B111">
        <f t="shared" si="55"/>
        <v>41</v>
      </c>
      <c r="C111">
        <f t="shared" si="54"/>
        <v>41</v>
      </c>
      <c r="D111">
        <f t="shared" si="54"/>
        <v>42</v>
      </c>
      <c r="E111">
        <f t="shared" si="54"/>
        <v>42</v>
      </c>
      <c r="F111">
        <f t="shared" si="54"/>
        <v>43</v>
      </c>
      <c r="G111">
        <f t="shared" si="54"/>
        <v>43</v>
      </c>
      <c r="J111">
        <f t="shared" si="54"/>
        <v>45</v>
      </c>
      <c r="K111">
        <f t="shared" si="54"/>
        <v>45</v>
      </c>
      <c r="L111">
        <f t="shared" si="54"/>
        <v>46</v>
      </c>
      <c r="M111">
        <f t="shared" si="54"/>
        <v>46</v>
      </c>
    </row>
    <row r="112" spans="1:13" ht="12.75">
      <c r="A112">
        <v>4</v>
      </c>
      <c r="B112">
        <f t="shared" si="55"/>
        <v>41</v>
      </c>
      <c r="C112">
        <f t="shared" si="54"/>
        <v>41</v>
      </c>
      <c r="D112">
        <f t="shared" si="54"/>
        <v>42</v>
      </c>
      <c r="E112">
        <f t="shared" si="54"/>
        <v>42</v>
      </c>
      <c r="F112">
        <f t="shared" si="54"/>
        <v>43</v>
      </c>
      <c r="G112">
        <f t="shared" si="54"/>
        <v>43</v>
      </c>
      <c r="J112">
        <f t="shared" si="54"/>
        <v>45</v>
      </c>
      <c r="K112">
        <f t="shared" si="54"/>
        <v>45</v>
      </c>
      <c r="L112">
        <f t="shared" si="54"/>
        <v>46</v>
      </c>
      <c r="M112">
        <f t="shared" si="54"/>
        <v>46</v>
      </c>
    </row>
    <row r="113" spans="1:13" ht="12.75">
      <c r="A113">
        <v>5</v>
      </c>
      <c r="B113">
        <f t="shared" si="55"/>
        <v>51</v>
      </c>
      <c r="C113">
        <f t="shared" si="54"/>
        <v>51</v>
      </c>
      <c r="D113">
        <f t="shared" si="54"/>
        <v>52</v>
      </c>
      <c r="E113">
        <f t="shared" si="54"/>
        <v>52</v>
      </c>
      <c r="F113">
        <f t="shared" si="54"/>
        <v>53</v>
      </c>
      <c r="G113">
        <f t="shared" si="54"/>
        <v>53</v>
      </c>
      <c r="H113">
        <f t="shared" si="54"/>
        <v>54</v>
      </c>
      <c r="I113">
        <f t="shared" si="54"/>
        <v>54</v>
      </c>
      <c r="L113">
        <f t="shared" si="54"/>
        <v>56</v>
      </c>
      <c r="M113">
        <f t="shared" si="54"/>
        <v>56</v>
      </c>
    </row>
    <row r="114" spans="1:13" ht="12.75">
      <c r="A114">
        <v>5</v>
      </c>
      <c r="B114">
        <f t="shared" si="55"/>
        <v>51</v>
      </c>
      <c r="C114">
        <f t="shared" si="54"/>
        <v>51</v>
      </c>
      <c r="D114">
        <f t="shared" si="54"/>
        <v>52</v>
      </c>
      <c r="E114">
        <f t="shared" si="54"/>
        <v>52</v>
      </c>
      <c r="F114">
        <f t="shared" si="54"/>
        <v>53</v>
      </c>
      <c r="G114">
        <f t="shared" si="54"/>
        <v>53</v>
      </c>
      <c r="H114">
        <f t="shared" si="54"/>
        <v>54</v>
      </c>
      <c r="I114">
        <f t="shared" si="54"/>
        <v>54</v>
      </c>
      <c r="L114">
        <f t="shared" si="54"/>
        <v>56</v>
      </c>
      <c r="M114">
        <f t="shared" si="54"/>
        <v>56</v>
      </c>
    </row>
    <row r="115" spans="1:11" ht="12.75">
      <c r="A115">
        <v>6</v>
      </c>
      <c r="B115">
        <f t="shared" si="55"/>
        <v>61</v>
      </c>
      <c r="C115">
        <f t="shared" si="54"/>
        <v>61</v>
      </c>
      <c r="D115">
        <f t="shared" si="54"/>
        <v>62</v>
      </c>
      <c r="E115">
        <f t="shared" si="54"/>
        <v>62</v>
      </c>
      <c r="F115">
        <f t="shared" si="54"/>
        <v>63</v>
      </c>
      <c r="G115">
        <f t="shared" si="54"/>
        <v>63</v>
      </c>
      <c r="H115">
        <f t="shared" si="54"/>
        <v>64</v>
      </c>
      <c r="I115">
        <f t="shared" si="54"/>
        <v>64</v>
      </c>
      <c r="J115">
        <f t="shared" si="54"/>
        <v>65</v>
      </c>
      <c r="K115">
        <f t="shared" si="54"/>
        <v>65</v>
      </c>
    </row>
    <row r="116" spans="1:11" ht="12.75">
      <c r="A116">
        <v>6</v>
      </c>
      <c r="B116">
        <f t="shared" si="55"/>
        <v>61</v>
      </c>
      <c r="C116">
        <f t="shared" si="54"/>
        <v>61</v>
      </c>
      <c r="D116">
        <f t="shared" si="54"/>
        <v>62</v>
      </c>
      <c r="E116">
        <f t="shared" si="54"/>
        <v>62</v>
      </c>
      <c r="F116">
        <f t="shared" si="54"/>
        <v>63</v>
      </c>
      <c r="G116">
        <f t="shared" si="54"/>
        <v>63</v>
      </c>
      <c r="H116">
        <f t="shared" si="54"/>
        <v>64</v>
      </c>
      <c r="I116">
        <f t="shared" si="54"/>
        <v>64</v>
      </c>
      <c r="J116">
        <f t="shared" si="54"/>
        <v>65</v>
      </c>
      <c r="K116">
        <f t="shared" si="54"/>
        <v>65</v>
      </c>
    </row>
    <row r="118" spans="2:13" ht="12.75">
      <c r="B118">
        <v>1</v>
      </c>
      <c r="C118">
        <v>1</v>
      </c>
      <c r="D118">
        <v>2</v>
      </c>
      <c r="E118">
        <v>2</v>
      </c>
      <c r="F118">
        <v>3</v>
      </c>
      <c r="G118">
        <v>3</v>
      </c>
      <c r="H118">
        <v>4</v>
      </c>
      <c r="I118">
        <v>4</v>
      </c>
      <c r="J118">
        <v>5</v>
      </c>
      <c r="K118">
        <v>5</v>
      </c>
      <c r="L118">
        <v>6</v>
      </c>
      <c r="M118">
        <v>6</v>
      </c>
    </row>
    <row r="119" spans="1:13" ht="12.75">
      <c r="A119">
        <v>1</v>
      </c>
      <c r="B119">
        <v>2</v>
      </c>
      <c r="C119">
        <v>3</v>
      </c>
      <c r="D119">
        <v>2</v>
      </c>
      <c r="E119">
        <v>3</v>
      </c>
      <c r="F119">
        <v>2</v>
      </c>
      <c r="G119">
        <v>3</v>
      </c>
      <c r="H119">
        <v>2</v>
      </c>
      <c r="I119">
        <v>3</v>
      </c>
      <c r="J119">
        <v>2</v>
      </c>
      <c r="K119">
        <v>3</v>
      </c>
      <c r="L119">
        <v>2</v>
      </c>
      <c r="M119">
        <v>3</v>
      </c>
    </row>
    <row r="120" spans="1:13" ht="12.75">
      <c r="A120">
        <v>1</v>
      </c>
      <c r="B120">
        <v>5</v>
      </c>
      <c r="C120">
        <v>4</v>
      </c>
      <c r="D120">
        <v>5</v>
      </c>
      <c r="E120">
        <v>4</v>
      </c>
      <c r="F120">
        <v>5</v>
      </c>
      <c r="G120">
        <v>4</v>
      </c>
      <c r="H120">
        <v>5</v>
      </c>
      <c r="I120">
        <v>4</v>
      </c>
      <c r="J120">
        <v>5</v>
      </c>
      <c r="K120">
        <v>4</v>
      </c>
      <c r="L120">
        <v>5</v>
      </c>
      <c r="M120">
        <v>4</v>
      </c>
    </row>
    <row r="121" spans="1:13" ht="12.75">
      <c r="A121">
        <v>2</v>
      </c>
      <c r="B121">
        <v>2</v>
      </c>
      <c r="C121">
        <v>3</v>
      </c>
      <c r="D121">
        <v>2</v>
      </c>
      <c r="E121">
        <v>3</v>
      </c>
      <c r="F121">
        <v>2</v>
      </c>
      <c r="G121">
        <v>3</v>
      </c>
      <c r="H121">
        <v>2</v>
      </c>
      <c r="I121">
        <v>3</v>
      </c>
      <c r="J121">
        <v>2</v>
      </c>
      <c r="K121">
        <v>3</v>
      </c>
      <c r="L121">
        <v>2</v>
      </c>
      <c r="M121">
        <v>3</v>
      </c>
    </row>
    <row r="122" spans="1:13" ht="12.75">
      <c r="A122">
        <v>2</v>
      </c>
      <c r="B122">
        <v>5</v>
      </c>
      <c r="C122">
        <v>4</v>
      </c>
      <c r="D122">
        <v>5</v>
      </c>
      <c r="E122">
        <v>4</v>
      </c>
      <c r="F122">
        <v>5</v>
      </c>
      <c r="G122">
        <v>4</v>
      </c>
      <c r="H122">
        <v>5</v>
      </c>
      <c r="I122">
        <v>4</v>
      </c>
      <c r="J122">
        <v>5</v>
      </c>
      <c r="K122">
        <v>4</v>
      </c>
      <c r="L122">
        <v>5</v>
      </c>
      <c r="M122">
        <v>4</v>
      </c>
    </row>
    <row r="123" spans="1:13" ht="12.75">
      <c r="A123">
        <v>3</v>
      </c>
      <c r="B123">
        <v>2</v>
      </c>
      <c r="C123">
        <v>3</v>
      </c>
      <c r="D123">
        <v>2</v>
      </c>
      <c r="E123">
        <v>3</v>
      </c>
      <c r="F123">
        <v>2</v>
      </c>
      <c r="G123">
        <v>3</v>
      </c>
      <c r="H123">
        <v>2</v>
      </c>
      <c r="I123">
        <v>3</v>
      </c>
      <c r="J123">
        <v>2</v>
      </c>
      <c r="K123">
        <v>3</v>
      </c>
      <c r="L123">
        <v>2</v>
      </c>
      <c r="M123">
        <v>3</v>
      </c>
    </row>
    <row r="124" spans="1:13" ht="12.75">
      <c r="A124">
        <v>3</v>
      </c>
      <c r="B124">
        <v>5</v>
      </c>
      <c r="C124">
        <v>4</v>
      </c>
      <c r="D124">
        <v>5</v>
      </c>
      <c r="E124">
        <v>4</v>
      </c>
      <c r="F124">
        <v>5</v>
      </c>
      <c r="G124">
        <v>4</v>
      </c>
      <c r="H124">
        <v>5</v>
      </c>
      <c r="I124">
        <v>4</v>
      </c>
      <c r="J124">
        <v>5</v>
      </c>
      <c r="K124">
        <v>4</v>
      </c>
      <c r="L124">
        <v>5</v>
      </c>
      <c r="M124">
        <v>4</v>
      </c>
    </row>
    <row r="125" spans="1:13" ht="12.75">
      <c r="A125">
        <v>4</v>
      </c>
      <c r="B125">
        <v>2</v>
      </c>
      <c r="C125">
        <v>3</v>
      </c>
      <c r="D125">
        <v>2</v>
      </c>
      <c r="E125">
        <v>3</v>
      </c>
      <c r="F125">
        <v>2</v>
      </c>
      <c r="G125">
        <v>3</v>
      </c>
      <c r="H125">
        <v>2</v>
      </c>
      <c r="I125">
        <v>3</v>
      </c>
      <c r="J125">
        <v>2</v>
      </c>
      <c r="K125">
        <v>3</v>
      </c>
      <c r="L125">
        <v>2</v>
      </c>
      <c r="M125">
        <v>3</v>
      </c>
    </row>
    <row r="126" spans="1:13" ht="12.75">
      <c r="A126">
        <v>4</v>
      </c>
      <c r="B126">
        <v>5</v>
      </c>
      <c r="C126">
        <v>4</v>
      </c>
      <c r="D126">
        <v>5</v>
      </c>
      <c r="E126">
        <v>4</v>
      </c>
      <c r="F126">
        <v>5</v>
      </c>
      <c r="G126">
        <v>4</v>
      </c>
      <c r="H126">
        <v>5</v>
      </c>
      <c r="I126">
        <v>4</v>
      </c>
      <c r="J126">
        <v>5</v>
      </c>
      <c r="K126">
        <v>4</v>
      </c>
      <c r="L126">
        <v>5</v>
      </c>
      <c r="M126">
        <v>4</v>
      </c>
    </row>
    <row r="127" spans="1:13" ht="12.75">
      <c r="A127">
        <v>5</v>
      </c>
      <c r="B127">
        <v>2</v>
      </c>
      <c r="C127">
        <v>3</v>
      </c>
      <c r="D127">
        <v>2</v>
      </c>
      <c r="E127">
        <v>3</v>
      </c>
      <c r="F127">
        <v>2</v>
      </c>
      <c r="G127">
        <v>3</v>
      </c>
      <c r="H127">
        <v>2</v>
      </c>
      <c r="I127">
        <v>3</v>
      </c>
      <c r="J127">
        <v>2</v>
      </c>
      <c r="K127">
        <v>3</v>
      </c>
      <c r="L127">
        <v>2</v>
      </c>
      <c r="M127">
        <v>3</v>
      </c>
    </row>
    <row r="128" spans="1:13" ht="12.75">
      <c r="A128">
        <v>5</v>
      </c>
      <c r="B128">
        <v>5</v>
      </c>
      <c r="C128">
        <v>4</v>
      </c>
      <c r="D128">
        <v>5</v>
      </c>
      <c r="E128">
        <v>4</v>
      </c>
      <c r="F128">
        <v>5</v>
      </c>
      <c r="G128">
        <v>4</v>
      </c>
      <c r="H128">
        <v>5</v>
      </c>
      <c r="I128">
        <v>4</v>
      </c>
      <c r="J128">
        <v>5</v>
      </c>
      <c r="K128">
        <v>4</v>
      </c>
      <c r="L128">
        <v>5</v>
      </c>
      <c r="M128">
        <v>4</v>
      </c>
    </row>
    <row r="129" spans="1:13" ht="12.75">
      <c r="A129">
        <v>6</v>
      </c>
      <c r="B129">
        <v>2</v>
      </c>
      <c r="C129">
        <v>3</v>
      </c>
      <c r="D129">
        <v>2</v>
      </c>
      <c r="E129">
        <v>3</v>
      </c>
      <c r="F129">
        <v>2</v>
      </c>
      <c r="G129">
        <v>3</v>
      </c>
      <c r="H129">
        <v>2</v>
      </c>
      <c r="I129">
        <v>3</v>
      </c>
      <c r="J129">
        <v>2</v>
      </c>
      <c r="K129">
        <v>3</v>
      </c>
      <c r="L129">
        <v>2</v>
      </c>
      <c r="M129">
        <v>3</v>
      </c>
    </row>
    <row r="130" spans="1:13" ht="12.75">
      <c r="A130">
        <v>6</v>
      </c>
      <c r="B130">
        <v>5</v>
      </c>
      <c r="C130">
        <v>4</v>
      </c>
      <c r="D130">
        <v>5</v>
      </c>
      <c r="E130">
        <v>4</v>
      </c>
      <c r="F130">
        <v>5</v>
      </c>
      <c r="G130">
        <v>4</v>
      </c>
      <c r="H130">
        <v>5</v>
      </c>
      <c r="I130">
        <v>4</v>
      </c>
      <c r="J130">
        <v>5</v>
      </c>
      <c r="K130">
        <v>4</v>
      </c>
      <c r="L130">
        <v>5</v>
      </c>
      <c r="M130">
        <v>4</v>
      </c>
    </row>
    <row r="132" spans="2:13" ht="12.75">
      <c r="B132">
        <v>1</v>
      </c>
      <c r="C132">
        <v>1</v>
      </c>
      <c r="D132">
        <v>2</v>
      </c>
      <c r="E132">
        <v>2</v>
      </c>
      <c r="F132">
        <v>3</v>
      </c>
      <c r="G132">
        <v>3</v>
      </c>
      <c r="H132">
        <v>4</v>
      </c>
      <c r="I132">
        <v>4</v>
      </c>
      <c r="J132">
        <v>5</v>
      </c>
      <c r="K132">
        <v>5</v>
      </c>
      <c r="L132">
        <v>6</v>
      </c>
      <c r="M132">
        <v>6</v>
      </c>
    </row>
    <row r="133" spans="1:13" ht="12.75">
      <c r="A133">
        <v>1</v>
      </c>
      <c r="B133">
        <f aca="true" t="shared" si="56" ref="B133:M133">IF(B105&gt;0,IF(ISERROR(VLOOKUP(B105,$C$23:$G$37,B119,FALSE)),VLOOKUP(B105,$J$23:$N$37,B119,FALSE),VLOOKUP(B105,$C$23:$G$37,B119,FALSE)),"")</f>
      </c>
      <c r="C133">
        <f t="shared" si="56"/>
      </c>
      <c r="D133">
        <f t="shared" si="56"/>
        <v>30</v>
      </c>
      <c r="E133">
        <f t="shared" si="56"/>
        <v>38</v>
      </c>
      <c r="F133">
        <f t="shared" si="56"/>
        <v>29</v>
      </c>
      <c r="G133">
        <f t="shared" si="56"/>
        <v>49</v>
      </c>
      <c r="H133">
        <f t="shared" si="56"/>
        <v>19</v>
      </c>
      <c r="I133">
        <f t="shared" si="56"/>
        <v>50</v>
      </c>
      <c r="J133">
        <f t="shared" si="56"/>
        <v>30</v>
      </c>
      <c r="K133">
        <f t="shared" si="56"/>
        <v>45</v>
      </c>
      <c r="L133">
        <f t="shared" si="56"/>
        <v>30</v>
      </c>
      <c r="M133">
        <f t="shared" si="56"/>
        <v>38</v>
      </c>
    </row>
    <row r="134" spans="1:13" ht="12.75">
      <c r="A134">
        <v>1</v>
      </c>
      <c r="B134">
        <f aca="true" t="shared" si="57" ref="B134:M134">IF(B106&gt;0,IF(ISERROR(VLOOKUP(B106,$C$23:$G$37,B120,FALSE)),VLOOKUP(B106,$J$23:$N$37,B120,FALSE),VLOOKUP(B106,$C$23:$G$37,B120,FALSE)),"")</f>
      </c>
      <c r="C134">
        <f t="shared" si="57"/>
      </c>
      <c r="D134" t="str">
        <f t="shared" si="57"/>
        <v>0,789</v>
      </c>
      <c r="E134">
        <f t="shared" si="57"/>
        <v>4</v>
      </c>
      <c r="F134" t="str">
        <f t="shared" si="57"/>
        <v>0,591</v>
      </c>
      <c r="G134">
        <f t="shared" si="57"/>
        <v>3</v>
      </c>
      <c r="H134" t="str">
        <f t="shared" si="57"/>
        <v>0,380</v>
      </c>
      <c r="I134">
        <f t="shared" si="57"/>
        <v>3</v>
      </c>
      <c r="J134" t="str">
        <f t="shared" si="57"/>
        <v>0,666</v>
      </c>
      <c r="K134">
        <f t="shared" si="57"/>
        <v>3</v>
      </c>
      <c r="L134" t="str">
        <f t="shared" si="57"/>
        <v>0,789</v>
      </c>
      <c r="M134">
        <f t="shared" si="57"/>
        <v>4</v>
      </c>
    </row>
    <row r="135" spans="1:13" ht="12.75">
      <c r="A135">
        <v>2</v>
      </c>
      <c r="B135">
        <f aca="true" t="shared" si="58" ref="B135:M135">IF(B107&gt;0,IF(ISERROR(VLOOKUP(B107,$C$23:$G$37,B121,FALSE)),VLOOKUP(B107,$J$23:$N$37,B121,FALSE),VLOOKUP(B107,$C$23:$G$37,B121,FALSE)),"")</f>
        <v>9</v>
      </c>
      <c r="C135">
        <f t="shared" si="58"/>
        <v>38</v>
      </c>
      <c r="D135">
        <f t="shared" si="58"/>
      </c>
      <c r="E135">
        <f t="shared" si="58"/>
      </c>
      <c r="F135">
        <f t="shared" si="58"/>
        <v>30</v>
      </c>
      <c r="G135">
        <f t="shared" si="58"/>
        <v>47</v>
      </c>
      <c r="H135">
        <f t="shared" si="58"/>
        <v>28</v>
      </c>
      <c r="I135">
        <f t="shared" si="58"/>
        <v>50</v>
      </c>
      <c r="J135">
        <f t="shared" si="58"/>
        <v>16</v>
      </c>
      <c r="K135">
        <f t="shared" si="58"/>
        <v>50</v>
      </c>
      <c r="L135">
        <f t="shared" si="58"/>
        <v>22</v>
      </c>
      <c r="M135">
        <f t="shared" si="58"/>
        <v>50</v>
      </c>
    </row>
    <row r="136" spans="1:13" ht="12.75">
      <c r="A136">
        <v>2</v>
      </c>
      <c r="B136" t="str">
        <f aca="true" t="shared" si="59" ref="B136:M136">IF(B108&gt;0,IF(ISERROR(VLOOKUP(B108,$C$23:$G$37,B122,FALSE)),VLOOKUP(B108,$J$23:$N$37,B122,FALSE),VLOOKUP(B108,$C$23:$G$37,B122,FALSE)),"")</f>
        <v>0,236</v>
      </c>
      <c r="C136">
        <f t="shared" si="59"/>
        <v>3</v>
      </c>
      <c r="D136">
        <f t="shared" si="59"/>
      </c>
      <c r="E136">
        <f t="shared" si="59"/>
      </c>
      <c r="F136" t="str">
        <f t="shared" si="59"/>
        <v>0,638</v>
      </c>
      <c r="G136">
        <f t="shared" si="59"/>
        <v>4</v>
      </c>
      <c r="H136" t="str">
        <f t="shared" si="59"/>
        <v>0,560</v>
      </c>
      <c r="I136">
        <f t="shared" si="59"/>
        <v>6</v>
      </c>
      <c r="J136" t="str">
        <f t="shared" si="59"/>
        <v>0,320</v>
      </c>
      <c r="K136">
        <f t="shared" si="59"/>
        <v>3</v>
      </c>
      <c r="L136" t="str">
        <f t="shared" si="59"/>
        <v>0,440</v>
      </c>
      <c r="M136">
        <f t="shared" si="59"/>
        <v>3</v>
      </c>
    </row>
    <row r="137" spans="1:13" ht="12.75">
      <c r="A137">
        <v>3</v>
      </c>
      <c r="B137">
        <f aca="true" t="shared" si="60" ref="B137:M137">IF(B109&gt;0,IF(ISERROR(VLOOKUP(B109,$C$23:$G$37,B123,FALSE)),VLOOKUP(B109,$J$23:$N$37,B123,FALSE),VLOOKUP(B109,$C$23:$G$37,B123,FALSE)),"")</f>
        <v>30</v>
      </c>
      <c r="C137">
        <f t="shared" si="60"/>
        <v>49</v>
      </c>
      <c r="D137">
        <f t="shared" si="60"/>
        <v>26</v>
      </c>
      <c r="E137">
        <f t="shared" si="60"/>
        <v>47</v>
      </c>
      <c r="F137">
        <f t="shared" si="60"/>
      </c>
      <c r="G137">
        <f t="shared" si="60"/>
      </c>
      <c r="H137">
        <f t="shared" si="60"/>
        <v>30</v>
      </c>
      <c r="I137">
        <f t="shared" si="60"/>
        <v>31</v>
      </c>
      <c r="J137">
        <f t="shared" si="60"/>
        <v>30</v>
      </c>
      <c r="K137">
        <f t="shared" si="60"/>
        <v>34</v>
      </c>
      <c r="L137">
        <f t="shared" si="60"/>
        <v>30</v>
      </c>
      <c r="M137">
        <f t="shared" si="60"/>
        <v>37</v>
      </c>
    </row>
    <row r="138" spans="1:13" ht="12.75">
      <c r="A138">
        <v>3</v>
      </c>
      <c r="B138" t="str">
        <f aca="true" t="shared" si="61" ref="B138:M138">IF(B110&gt;0,IF(ISERROR(VLOOKUP(B110,$C$23:$G$37,B124,FALSE)),VLOOKUP(B110,$J$23:$N$37,B124,FALSE),VLOOKUP(B110,$C$23:$G$37,B124,FALSE)),"")</f>
        <v>0,612</v>
      </c>
      <c r="C138">
        <f t="shared" si="61"/>
        <v>4</v>
      </c>
      <c r="D138" t="str">
        <f t="shared" si="61"/>
        <v>0,553</v>
      </c>
      <c r="E138">
        <f t="shared" si="61"/>
        <v>3</v>
      </c>
      <c r="F138">
        <f t="shared" si="61"/>
      </c>
      <c r="G138">
        <f t="shared" si="61"/>
      </c>
      <c r="H138" t="str">
        <f t="shared" si="61"/>
        <v>0,967</v>
      </c>
      <c r="I138">
        <f t="shared" si="61"/>
        <v>3</v>
      </c>
      <c r="J138" t="str">
        <f t="shared" si="61"/>
        <v>0,882</v>
      </c>
      <c r="K138">
        <f t="shared" si="61"/>
        <v>4</v>
      </c>
      <c r="L138" t="str">
        <f t="shared" si="61"/>
        <v>0,810</v>
      </c>
      <c r="M138">
        <f t="shared" si="61"/>
        <v>4</v>
      </c>
    </row>
    <row r="139" spans="1:13" ht="12.75">
      <c r="A139">
        <v>4</v>
      </c>
      <c r="B139">
        <f aca="true" t="shared" si="62" ref="B139:M139">IF(B111&gt;0,IF(ISERROR(VLOOKUP(B111,$C$23:$G$37,B125,FALSE)),VLOOKUP(B111,$J$23:$N$37,B125,FALSE),VLOOKUP(B111,$C$23:$G$37,B125,FALSE)),"")</f>
        <v>21</v>
      </c>
      <c r="C139">
        <f t="shared" si="62"/>
        <v>50</v>
      </c>
      <c r="D139">
        <f t="shared" si="62"/>
        <v>20</v>
      </c>
      <c r="E139">
        <f t="shared" si="62"/>
        <v>50</v>
      </c>
      <c r="F139">
        <f t="shared" si="62"/>
        <v>17</v>
      </c>
      <c r="G139">
        <f t="shared" si="62"/>
        <v>31</v>
      </c>
      <c r="H139">
        <f t="shared" si="62"/>
      </c>
      <c r="I139">
        <f t="shared" si="62"/>
      </c>
      <c r="J139">
        <f t="shared" si="62"/>
        <v>29</v>
      </c>
      <c r="K139">
        <f t="shared" si="62"/>
        <v>50</v>
      </c>
      <c r="L139">
        <f t="shared" si="62"/>
        <v>26</v>
      </c>
      <c r="M139">
        <f t="shared" si="62"/>
        <v>50</v>
      </c>
    </row>
    <row r="140" spans="1:13" ht="12.75">
      <c r="A140">
        <v>4</v>
      </c>
      <c r="B140" t="str">
        <f aca="true" t="shared" si="63" ref="B140:M140">IF(B112&gt;0,IF(ISERROR(VLOOKUP(B112,$C$23:$G$37,B126,FALSE)),VLOOKUP(B112,$J$23:$N$37,B126,FALSE),VLOOKUP(B112,$C$23:$G$37,B126,FALSE)),"")</f>
        <v>0,420</v>
      </c>
      <c r="C140">
        <f t="shared" si="63"/>
        <v>3</v>
      </c>
      <c r="D140" t="str">
        <f t="shared" si="63"/>
        <v>0,400</v>
      </c>
      <c r="E140">
        <f t="shared" si="63"/>
        <v>3</v>
      </c>
      <c r="F140" t="str">
        <f t="shared" si="63"/>
        <v>0,548</v>
      </c>
      <c r="G140">
        <f t="shared" si="63"/>
        <v>3</v>
      </c>
      <c r="H140">
        <f t="shared" si="63"/>
      </c>
      <c r="I140">
        <f t="shared" si="63"/>
      </c>
      <c r="J140" t="str">
        <f t="shared" si="63"/>
        <v>0,580</v>
      </c>
      <c r="K140">
        <f t="shared" si="63"/>
        <v>3</v>
      </c>
      <c r="L140" t="str">
        <f t="shared" si="63"/>
        <v>0,520</v>
      </c>
      <c r="M140">
        <f t="shared" si="63"/>
        <v>3</v>
      </c>
    </row>
    <row r="141" spans="1:13" ht="12.75">
      <c r="A141">
        <v>5</v>
      </c>
      <c r="B141">
        <f aca="true" t="shared" si="64" ref="B141:M141">IF(B113&gt;0,IF(ISERROR(VLOOKUP(B113,$C$23:$G$37,B127,FALSE)),VLOOKUP(B113,$J$23:$N$37,B127,FALSE),VLOOKUP(B113,$C$23:$G$37,B127,FALSE)),"")</f>
        <v>23</v>
      </c>
      <c r="C141">
        <f t="shared" si="64"/>
        <v>45</v>
      </c>
      <c r="D141">
        <f t="shared" si="64"/>
        <v>18</v>
      </c>
      <c r="E141">
        <f t="shared" si="64"/>
        <v>50</v>
      </c>
      <c r="F141">
        <f t="shared" si="64"/>
        <v>19</v>
      </c>
      <c r="G141">
        <f t="shared" si="64"/>
        <v>34</v>
      </c>
      <c r="H141">
        <f t="shared" si="64"/>
        <v>21</v>
      </c>
      <c r="I141">
        <f t="shared" si="64"/>
        <v>50</v>
      </c>
      <c r="J141">
        <f t="shared" si="64"/>
      </c>
      <c r="K141">
        <f t="shared" si="64"/>
      </c>
      <c r="L141">
        <f t="shared" si="64"/>
        <v>30</v>
      </c>
      <c r="M141">
        <f t="shared" si="64"/>
        <v>47</v>
      </c>
    </row>
    <row r="142" spans="1:13" ht="12.75">
      <c r="A142">
        <v>5</v>
      </c>
      <c r="B142" t="str">
        <f aca="true" t="shared" si="65" ref="B142:M142">IF(B114&gt;0,IF(ISERROR(VLOOKUP(B114,$C$23:$G$37,B128,FALSE)),VLOOKUP(B114,$J$23:$N$37,B128,FALSE),VLOOKUP(B114,$C$23:$G$37,B128,FALSE)),"")</f>
        <v>0,511</v>
      </c>
      <c r="C142">
        <f t="shared" si="65"/>
        <v>4</v>
      </c>
      <c r="D142" t="str">
        <f t="shared" si="65"/>
        <v>0,360</v>
      </c>
      <c r="E142">
        <f t="shared" si="65"/>
        <v>3</v>
      </c>
      <c r="F142" t="str">
        <f t="shared" si="65"/>
        <v>0,558</v>
      </c>
      <c r="G142">
        <f t="shared" si="65"/>
        <v>3</v>
      </c>
      <c r="H142" t="str">
        <f t="shared" si="65"/>
        <v>0,420</v>
      </c>
      <c r="I142">
        <f t="shared" si="65"/>
        <v>3</v>
      </c>
      <c r="J142">
        <f t="shared" si="65"/>
      </c>
      <c r="K142">
        <f t="shared" si="65"/>
      </c>
      <c r="L142" t="str">
        <f t="shared" si="65"/>
        <v>0,638</v>
      </c>
      <c r="M142">
        <f t="shared" si="65"/>
        <v>5</v>
      </c>
    </row>
    <row r="143" spans="1:13" ht="12.75">
      <c r="A143">
        <v>6</v>
      </c>
      <c r="B143">
        <f aca="true" t="shared" si="66" ref="B143:M143">IF(B115&gt;0,IF(ISERROR(VLOOKUP(B115,$C$23:$G$37,B129,FALSE)),VLOOKUP(B115,$J$23:$N$37,B129,FALSE),VLOOKUP(B115,$C$23:$G$37,B129,FALSE)),"")</f>
        <v>7</v>
      </c>
      <c r="C143">
        <f t="shared" si="66"/>
        <v>38</v>
      </c>
      <c r="D143">
        <f t="shared" si="66"/>
        <v>15</v>
      </c>
      <c r="E143">
        <f t="shared" si="66"/>
        <v>50</v>
      </c>
      <c r="F143">
        <f t="shared" si="66"/>
        <v>18</v>
      </c>
      <c r="G143">
        <f t="shared" si="66"/>
        <v>37</v>
      </c>
      <c r="H143">
        <f t="shared" si="66"/>
        <v>16</v>
      </c>
      <c r="I143">
        <f t="shared" si="66"/>
        <v>50</v>
      </c>
      <c r="J143">
        <f t="shared" si="66"/>
        <v>20</v>
      </c>
      <c r="K143">
        <f t="shared" si="66"/>
        <v>47</v>
      </c>
      <c r="L143">
        <f t="shared" si="66"/>
      </c>
      <c r="M143">
        <f t="shared" si="66"/>
      </c>
    </row>
    <row r="144" spans="1:13" ht="12.75">
      <c r="A144">
        <v>6</v>
      </c>
      <c r="B144" t="str">
        <f aca="true" t="shared" si="67" ref="B144:M144">IF(B116&gt;0,IF(ISERROR(VLOOKUP(B116,$C$23:$G$37,B130,FALSE)),VLOOKUP(B116,$J$23:$N$37,B130,FALSE),VLOOKUP(B116,$C$23:$G$37,B130,FALSE)),"")</f>
        <v>0,184</v>
      </c>
      <c r="C144">
        <f t="shared" si="67"/>
        <v>2</v>
      </c>
      <c r="D144" t="str">
        <f t="shared" si="67"/>
        <v>0,300</v>
      </c>
      <c r="E144">
        <f t="shared" si="67"/>
        <v>2</v>
      </c>
      <c r="F144" t="str">
        <f t="shared" si="67"/>
        <v>0,486</v>
      </c>
      <c r="G144">
        <f t="shared" si="67"/>
        <v>4</v>
      </c>
      <c r="H144" t="str">
        <f t="shared" si="67"/>
        <v>0,320</v>
      </c>
      <c r="I144">
        <f t="shared" si="67"/>
        <v>2</v>
      </c>
      <c r="J144" t="str">
        <f t="shared" si="67"/>
        <v>0,425</v>
      </c>
      <c r="K144">
        <f t="shared" si="67"/>
        <v>4</v>
      </c>
      <c r="L144">
        <f t="shared" si="67"/>
      </c>
      <c r="M144">
        <f t="shared" si="67"/>
      </c>
    </row>
  </sheetData>
  <sheetProtection/>
  <mergeCells count="7">
    <mergeCell ref="C7:G7"/>
    <mergeCell ref="C9:G9"/>
    <mergeCell ref="C3:G3"/>
    <mergeCell ref="C5:G5"/>
    <mergeCell ref="C6:G6"/>
    <mergeCell ref="C4:D4"/>
    <mergeCell ref="E4:G4"/>
  </mergeCells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.00390625" style="0" bestFit="1" customWidth="1"/>
    <col min="3" max="3" width="5.140625" style="0" bestFit="1" customWidth="1"/>
    <col min="4" max="4" width="3.00390625" style="0" bestFit="1" customWidth="1"/>
    <col min="5" max="5" width="2.00390625" style="0" bestFit="1" customWidth="1"/>
  </cols>
  <sheetData>
    <row r="1" spans="1:5" ht="12.75">
      <c r="A1">
        <v>12</v>
      </c>
      <c r="B1">
        <f>SUMIF(Eingabe!C$23:C$37,A1,Eingabe!H$23:H$37)+SUMIF(Eingabe!J$23:J$37,A1,Eingabe!O$23:O$37)</f>
        <v>2</v>
      </c>
      <c r="C1" t="str">
        <f>CONCATENATE("Ell",A1)</f>
        <v>Ell12</v>
      </c>
      <c r="D1">
        <f>(A1-INT(A1/10)*10)*10+INT(A1/10)</f>
        <v>21</v>
      </c>
      <c r="E1">
        <f>SUMIF(Eingabe!C$23:C$37,D1,Eingabe!H$23:H$37)+SUMIF(Eingabe!J$23:J$37,D1,Eingabe!O$23:O$37)</f>
        <v>0</v>
      </c>
    </row>
    <row r="2" spans="1:5" ht="12.75">
      <c r="A2">
        <v>13</v>
      </c>
      <c r="B2">
        <f>SUMIF(Eingabe!C$23:C$37,A2,Eingabe!H$23:H$37)+SUMIF(Eingabe!J$23:J$37,A2,Eingabe!O$23:O$37)</f>
        <v>0</v>
      </c>
      <c r="C2" t="str">
        <f aca="true" t="shared" si="0" ref="C2:C30">CONCATENATE("Ell",A2)</f>
        <v>Ell13</v>
      </c>
      <c r="D2">
        <f aca="true" t="shared" si="1" ref="D2:D30">(A2-INT(A2/10)*10)*10+INT(A2/10)</f>
        <v>31</v>
      </c>
      <c r="E2">
        <f>SUMIF(Eingabe!C$23:C$37,D2,Eingabe!H$23:H$37)+SUMIF(Eingabe!J$23:J$37,D2,Eingabe!O$23:O$37)</f>
        <v>2</v>
      </c>
    </row>
    <row r="3" spans="1:5" ht="12.75">
      <c r="A3">
        <v>14</v>
      </c>
      <c r="B3">
        <f>SUMIF(Eingabe!C$23:C$37,A3,Eingabe!H$23:H$37)+SUMIF(Eingabe!J$23:J$37,A3,Eingabe!O$23:O$37)</f>
        <v>0</v>
      </c>
      <c r="C3" t="str">
        <f t="shared" si="0"/>
        <v>Ell14</v>
      </c>
      <c r="D3">
        <f t="shared" si="1"/>
        <v>41</v>
      </c>
      <c r="E3">
        <f>SUMIF(Eingabe!C$23:C$37,D3,Eingabe!H$23:H$37)+SUMIF(Eingabe!J$23:J$37,D3,Eingabe!O$23:O$37)</f>
        <v>2</v>
      </c>
    </row>
    <row r="4" spans="1:5" ht="12.75">
      <c r="A4">
        <v>15</v>
      </c>
      <c r="B4">
        <f>SUMIF(Eingabe!C$23:C$37,A4,Eingabe!H$23:H$37)+SUMIF(Eingabe!J$23:J$37,A4,Eingabe!O$23:O$37)</f>
        <v>2</v>
      </c>
      <c r="C4" t="str">
        <f t="shared" si="0"/>
        <v>Ell15</v>
      </c>
      <c r="D4">
        <f t="shared" si="1"/>
        <v>51</v>
      </c>
      <c r="E4">
        <f>SUMIF(Eingabe!C$23:C$37,D4,Eingabe!H$23:H$37)+SUMIF(Eingabe!J$23:J$37,D4,Eingabe!O$23:O$37)</f>
        <v>0</v>
      </c>
    </row>
    <row r="5" spans="1:5" ht="12.75">
      <c r="A5">
        <v>16</v>
      </c>
      <c r="B5">
        <f>SUMIF(Eingabe!C$23:C$37,A5,Eingabe!H$23:H$37)+SUMIF(Eingabe!J$23:J$37,A5,Eingabe!O$23:O$37)</f>
        <v>2</v>
      </c>
      <c r="C5" t="str">
        <f t="shared" si="0"/>
        <v>Ell16</v>
      </c>
      <c r="D5">
        <f t="shared" si="1"/>
        <v>61</v>
      </c>
      <c r="E5">
        <f>SUMIF(Eingabe!C$23:C$37,D5,Eingabe!H$23:H$37)+SUMIF(Eingabe!J$23:J$37,D5,Eingabe!O$23:O$37)</f>
        <v>0</v>
      </c>
    </row>
    <row r="6" spans="1:5" ht="12.75">
      <c r="A6">
        <v>21</v>
      </c>
      <c r="B6">
        <f>SUMIF(Eingabe!C$23:C$37,A6,Eingabe!H$23:H$37)+SUMIF(Eingabe!J$23:J$37,A6,Eingabe!O$23:O$37)</f>
        <v>0</v>
      </c>
      <c r="C6" t="str">
        <f t="shared" si="0"/>
        <v>Ell21</v>
      </c>
      <c r="D6">
        <f t="shared" si="1"/>
        <v>12</v>
      </c>
      <c r="E6">
        <f>SUMIF(Eingabe!C$23:C$37,D6,Eingabe!H$23:H$37)+SUMIF(Eingabe!J$23:J$37,D6,Eingabe!O$23:O$37)</f>
        <v>2</v>
      </c>
    </row>
    <row r="7" spans="1:5" ht="12.75">
      <c r="A7">
        <v>23</v>
      </c>
      <c r="B7">
        <f>SUMIF(Eingabe!C$23:C$37,A7,Eingabe!H$23:H$37)+SUMIF(Eingabe!J$23:J$37,A7,Eingabe!O$23:O$37)</f>
        <v>2</v>
      </c>
      <c r="C7" t="str">
        <f t="shared" si="0"/>
        <v>Ell23</v>
      </c>
      <c r="D7">
        <f t="shared" si="1"/>
        <v>32</v>
      </c>
      <c r="E7">
        <f>SUMIF(Eingabe!C$23:C$37,D7,Eingabe!H$23:H$37)+SUMIF(Eingabe!J$23:J$37,D7,Eingabe!O$23:O$37)</f>
        <v>0</v>
      </c>
    </row>
    <row r="8" spans="1:5" ht="12.75">
      <c r="A8">
        <v>24</v>
      </c>
      <c r="B8">
        <f>SUMIF(Eingabe!C$23:C$37,A8,Eingabe!H$23:H$37)+SUMIF(Eingabe!J$23:J$37,A8,Eingabe!O$23:O$37)</f>
        <v>2</v>
      </c>
      <c r="C8" t="str">
        <f t="shared" si="0"/>
        <v>Ell24</v>
      </c>
      <c r="D8">
        <f t="shared" si="1"/>
        <v>42</v>
      </c>
      <c r="E8">
        <f>SUMIF(Eingabe!C$23:C$37,D8,Eingabe!H$23:H$37)+SUMIF(Eingabe!J$23:J$37,D8,Eingabe!O$23:O$37)</f>
        <v>0</v>
      </c>
    </row>
    <row r="9" spans="1:5" ht="12.75">
      <c r="A9">
        <v>25</v>
      </c>
      <c r="B9">
        <f>SUMIF(Eingabe!C$23:C$37,A9,Eingabe!H$23:H$37)+SUMIF(Eingabe!J$23:J$37,A9,Eingabe!O$23:O$37)</f>
        <v>0</v>
      </c>
      <c r="C9" t="str">
        <f t="shared" si="0"/>
        <v>Ell25</v>
      </c>
      <c r="D9">
        <f t="shared" si="1"/>
        <v>52</v>
      </c>
      <c r="E9">
        <f>SUMIF(Eingabe!C$23:C$37,D9,Eingabe!H$23:H$37)+SUMIF(Eingabe!J$23:J$37,D9,Eingabe!O$23:O$37)</f>
        <v>2</v>
      </c>
    </row>
    <row r="10" spans="1:5" ht="12.75">
      <c r="A10">
        <v>26</v>
      </c>
      <c r="B10">
        <f>SUMIF(Eingabe!C$23:C$37,A10,Eingabe!H$23:H$37)+SUMIF(Eingabe!J$23:J$37,A10,Eingabe!O$23:O$37)</f>
        <v>2</v>
      </c>
      <c r="C10" t="str">
        <f t="shared" si="0"/>
        <v>Ell26</v>
      </c>
      <c r="D10">
        <f t="shared" si="1"/>
        <v>62</v>
      </c>
      <c r="E10">
        <f>SUMIF(Eingabe!C$23:C$37,D10,Eingabe!H$23:H$37)+SUMIF(Eingabe!J$23:J$37,D10,Eingabe!O$23:O$37)</f>
        <v>0</v>
      </c>
    </row>
    <row r="11" spans="1:5" ht="12.75">
      <c r="A11">
        <v>31</v>
      </c>
      <c r="B11">
        <f>SUMIF(Eingabe!C$23:C$37,A11,Eingabe!H$23:H$37)+SUMIF(Eingabe!J$23:J$37,A11,Eingabe!O$23:O$37)</f>
        <v>2</v>
      </c>
      <c r="C11" t="str">
        <f t="shared" si="0"/>
        <v>Ell31</v>
      </c>
      <c r="D11">
        <f t="shared" si="1"/>
        <v>13</v>
      </c>
      <c r="E11">
        <f>SUMIF(Eingabe!C$23:C$37,D11,Eingabe!H$23:H$37)+SUMIF(Eingabe!J$23:J$37,D11,Eingabe!O$23:O$37)</f>
        <v>0</v>
      </c>
    </row>
    <row r="12" spans="1:5" ht="12.75">
      <c r="A12">
        <v>32</v>
      </c>
      <c r="B12">
        <f>SUMIF(Eingabe!C$23:C$37,A12,Eingabe!H$23:H$37)+SUMIF(Eingabe!J$23:J$37,A12,Eingabe!O$23:O$37)</f>
        <v>0</v>
      </c>
      <c r="C12" t="str">
        <f t="shared" si="0"/>
        <v>Ell32</v>
      </c>
      <c r="D12">
        <f t="shared" si="1"/>
        <v>23</v>
      </c>
      <c r="E12">
        <f>SUMIF(Eingabe!C$23:C$37,D12,Eingabe!H$23:H$37)+SUMIF(Eingabe!J$23:J$37,D12,Eingabe!O$23:O$37)</f>
        <v>2</v>
      </c>
    </row>
    <row r="13" spans="1:5" ht="12.75">
      <c r="A13">
        <v>34</v>
      </c>
      <c r="B13">
        <f>SUMIF(Eingabe!C$23:C$37,A13,Eingabe!H$23:H$37)+SUMIF(Eingabe!J$23:J$37,A13,Eingabe!O$23:O$37)</f>
        <v>2</v>
      </c>
      <c r="C13" t="str">
        <f t="shared" si="0"/>
        <v>Ell34</v>
      </c>
      <c r="D13">
        <f t="shared" si="1"/>
        <v>43</v>
      </c>
      <c r="E13">
        <f>SUMIF(Eingabe!C$23:C$37,D13,Eingabe!H$23:H$37)+SUMIF(Eingabe!J$23:J$37,D13,Eingabe!O$23:O$37)</f>
        <v>0</v>
      </c>
    </row>
    <row r="14" spans="1:5" ht="12.75">
      <c r="A14">
        <v>35</v>
      </c>
      <c r="B14">
        <f>SUMIF(Eingabe!C$23:C$37,A14,Eingabe!H$23:H$37)+SUMIF(Eingabe!J$23:J$37,A14,Eingabe!O$23:O$37)</f>
        <v>2</v>
      </c>
      <c r="C14" t="str">
        <f t="shared" si="0"/>
        <v>Ell35</v>
      </c>
      <c r="D14">
        <f t="shared" si="1"/>
        <v>53</v>
      </c>
      <c r="E14">
        <f>SUMIF(Eingabe!C$23:C$37,D14,Eingabe!H$23:H$37)+SUMIF(Eingabe!J$23:J$37,D14,Eingabe!O$23:O$37)</f>
        <v>0</v>
      </c>
    </row>
    <row r="15" spans="1:5" ht="12.75">
      <c r="A15">
        <v>36</v>
      </c>
      <c r="B15">
        <f>SUMIF(Eingabe!C$23:C$37,A15,Eingabe!H$23:H$37)+SUMIF(Eingabe!J$23:J$37,A15,Eingabe!O$23:O$37)</f>
        <v>2</v>
      </c>
      <c r="C15" t="str">
        <f t="shared" si="0"/>
        <v>Ell36</v>
      </c>
      <c r="D15">
        <f t="shared" si="1"/>
        <v>63</v>
      </c>
      <c r="E15">
        <f>SUMIF(Eingabe!C$23:C$37,D15,Eingabe!H$23:H$37)+SUMIF(Eingabe!J$23:J$37,D15,Eingabe!O$23:O$37)</f>
        <v>0</v>
      </c>
    </row>
    <row r="16" spans="1:5" ht="12.75">
      <c r="A16">
        <v>41</v>
      </c>
      <c r="B16">
        <f>SUMIF(Eingabe!C$23:C$37,A16,Eingabe!H$23:H$37)+SUMIF(Eingabe!J$23:J$37,A16,Eingabe!O$23:O$37)</f>
        <v>2</v>
      </c>
      <c r="C16" t="str">
        <f t="shared" si="0"/>
        <v>Ell41</v>
      </c>
      <c r="D16">
        <f t="shared" si="1"/>
        <v>14</v>
      </c>
      <c r="E16">
        <f>SUMIF(Eingabe!C$23:C$37,D16,Eingabe!H$23:H$37)+SUMIF(Eingabe!J$23:J$37,D16,Eingabe!O$23:O$37)</f>
        <v>0</v>
      </c>
    </row>
    <row r="17" spans="1:5" ht="12.75">
      <c r="A17">
        <v>42</v>
      </c>
      <c r="B17">
        <f>SUMIF(Eingabe!C$23:C$37,A17,Eingabe!H$23:H$37)+SUMIF(Eingabe!J$23:J$37,A17,Eingabe!O$23:O$37)</f>
        <v>0</v>
      </c>
      <c r="C17" t="str">
        <f t="shared" si="0"/>
        <v>Ell42</v>
      </c>
      <c r="D17">
        <f t="shared" si="1"/>
        <v>24</v>
      </c>
      <c r="E17">
        <f>SUMIF(Eingabe!C$23:C$37,D17,Eingabe!H$23:H$37)+SUMIF(Eingabe!J$23:J$37,D17,Eingabe!O$23:O$37)</f>
        <v>2</v>
      </c>
    </row>
    <row r="18" spans="1:5" ht="12.75">
      <c r="A18">
        <v>43</v>
      </c>
      <c r="B18">
        <f>SUMIF(Eingabe!C$23:C$37,A18,Eingabe!H$23:H$37)+SUMIF(Eingabe!J$23:J$37,A18,Eingabe!O$23:O$37)</f>
        <v>0</v>
      </c>
      <c r="C18" t="str">
        <f t="shared" si="0"/>
        <v>Ell43</v>
      </c>
      <c r="D18">
        <f t="shared" si="1"/>
        <v>34</v>
      </c>
      <c r="E18">
        <f>SUMIF(Eingabe!C$23:C$37,D18,Eingabe!H$23:H$37)+SUMIF(Eingabe!J$23:J$37,D18,Eingabe!O$23:O$37)</f>
        <v>2</v>
      </c>
    </row>
    <row r="19" spans="1:5" ht="12.75">
      <c r="A19">
        <v>45</v>
      </c>
      <c r="B19">
        <f>SUMIF(Eingabe!C$23:C$37,A19,Eingabe!H$23:H$37)+SUMIF(Eingabe!J$23:J$37,A19,Eingabe!O$23:O$37)</f>
        <v>2</v>
      </c>
      <c r="C19" t="str">
        <f t="shared" si="0"/>
        <v>Ell45</v>
      </c>
      <c r="D19">
        <f t="shared" si="1"/>
        <v>54</v>
      </c>
      <c r="E19">
        <f>SUMIF(Eingabe!C$23:C$37,D19,Eingabe!H$23:H$37)+SUMIF(Eingabe!J$23:J$37,D19,Eingabe!O$23:O$37)</f>
        <v>0</v>
      </c>
    </row>
    <row r="20" spans="1:5" ht="12.75">
      <c r="A20">
        <v>46</v>
      </c>
      <c r="B20">
        <f>SUMIF(Eingabe!C$23:C$37,A20,Eingabe!H$23:H$37)+SUMIF(Eingabe!J$23:J$37,A20,Eingabe!O$23:O$37)</f>
        <v>2</v>
      </c>
      <c r="C20" t="str">
        <f t="shared" si="0"/>
        <v>Ell46</v>
      </c>
      <c r="D20">
        <f t="shared" si="1"/>
        <v>64</v>
      </c>
      <c r="E20">
        <f>SUMIF(Eingabe!C$23:C$37,D20,Eingabe!H$23:H$37)+SUMIF(Eingabe!J$23:J$37,D20,Eingabe!O$23:O$37)</f>
        <v>0</v>
      </c>
    </row>
    <row r="21" spans="1:5" ht="12.75">
      <c r="A21">
        <v>51</v>
      </c>
      <c r="B21">
        <f>SUMIF(Eingabe!C$23:C$37,A21,Eingabe!H$23:H$37)+SUMIF(Eingabe!J$23:J$37,A21,Eingabe!O$23:O$37)</f>
        <v>0</v>
      </c>
      <c r="C21" t="str">
        <f t="shared" si="0"/>
        <v>Ell51</v>
      </c>
      <c r="D21">
        <f t="shared" si="1"/>
        <v>15</v>
      </c>
      <c r="E21">
        <f>SUMIF(Eingabe!C$23:C$37,D21,Eingabe!H$23:H$37)+SUMIF(Eingabe!J$23:J$37,D21,Eingabe!O$23:O$37)</f>
        <v>2</v>
      </c>
    </row>
    <row r="22" spans="1:5" ht="12.75">
      <c r="A22">
        <v>52</v>
      </c>
      <c r="B22">
        <f>SUMIF(Eingabe!C$23:C$37,A22,Eingabe!H$23:H$37)+SUMIF(Eingabe!J$23:J$37,A22,Eingabe!O$23:O$37)</f>
        <v>2</v>
      </c>
      <c r="C22" t="str">
        <f t="shared" si="0"/>
        <v>Ell52</v>
      </c>
      <c r="D22">
        <f t="shared" si="1"/>
        <v>25</v>
      </c>
      <c r="E22">
        <f>SUMIF(Eingabe!C$23:C$37,D22,Eingabe!H$23:H$37)+SUMIF(Eingabe!J$23:J$37,D22,Eingabe!O$23:O$37)</f>
        <v>0</v>
      </c>
    </row>
    <row r="23" spans="1:5" ht="12.75">
      <c r="A23">
        <v>53</v>
      </c>
      <c r="B23">
        <f>SUMIF(Eingabe!C$23:C$37,A23,Eingabe!H$23:H$37)+SUMIF(Eingabe!J$23:J$37,A23,Eingabe!O$23:O$37)</f>
        <v>0</v>
      </c>
      <c r="C23" t="str">
        <f t="shared" si="0"/>
        <v>Ell53</v>
      </c>
      <c r="D23">
        <f t="shared" si="1"/>
        <v>35</v>
      </c>
      <c r="E23">
        <f>SUMIF(Eingabe!C$23:C$37,D23,Eingabe!H$23:H$37)+SUMIF(Eingabe!J$23:J$37,D23,Eingabe!O$23:O$37)</f>
        <v>2</v>
      </c>
    </row>
    <row r="24" spans="1:5" ht="12.75">
      <c r="A24">
        <v>54</v>
      </c>
      <c r="B24">
        <f>SUMIF(Eingabe!C$23:C$37,A24,Eingabe!H$23:H$37)+SUMIF(Eingabe!J$23:J$37,A24,Eingabe!O$23:O$37)</f>
        <v>0</v>
      </c>
      <c r="C24" t="str">
        <f t="shared" si="0"/>
        <v>Ell54</v>
      </c>
      <c r="D24">
        <f t="shared" si="1"/>
        <v>45</v>
      </c>
      <c r="E24">
        <f>SUMIF(Eingabe!C$23:C$37,D24,Eingabe!H$23:H$37)+SUMIF(Eingabe!J$23:J$37,D24,Eingabe!O$23:O$37)</f>
        <v>2</v>
      </c>
    </row>
    <row r="25" spans="1:5" ht="12.75">
      <c r="A25">
        <v>56</v>
      </c>
      <c r="B25">
        <f>SUMIF(Eingabe!C$23:C$37,A25,Eingabe!H$23:H$37)+SUMIF(Eingabe!J$23:J$37,A25,Eingabe!O$23:O$37)</f>
        <v>2</v>
      </c>
      <c r="C25" t="str">
        <f t="shared" si="0"/>
        <v>Ell56</v>
      </c>
      <c r="D25">
        <f t="shared" si="1"/>
        <v>65</v>
      </c>
      <c r="E25">
        <f>SUMIF(Eingabe!C$23:C$37,D25,Eingabe!H$23:H$37)+SUMIF(Eingabe!J$23:J$37,D25,Eingabe!O$23:O$37)</f>
        <v>0</v>
      </c>
    </row>
    <row r="26" spans="1:5" ht="12.75">
      <c r="A26">
        <v>61</v>
      </c>
      <c r="B26">
        <f>SUMIF(Eingabe!C$23:C$37,A26,Eingabe!H$23:H$37)+SUMIF(Eingabe!J$23:J$37,A26,Eingabe!O$23:O$37)</f>
        <v>0</v>
      </c>
      <c r="C26" t="str">
        <f t="shared" si="0"/>
        <v>Ell61</v>
      </c>
      <c r="D26">
        <f t="shared" si="1"/>
        <v>16</v>
      </c>
      <c r="E26">
        <f>SUMIF(Eingabe!C$23:C$37,D26,Eingabe!H$23:H$37)+SUMIF(Eingabe!J$23:J$37,D26,Eingabe!O$23:O$37)</f>
        <v>2</v>
      </c>
    </row>
    <row r="27" spans="1:5" ht="12.75">
      <c r="A27">
        <v>62</v>
      </c>
      <c r="B27">
        <f>SUMIF(Eingabe!C$23:C$37,A27,Eingabe!H$23:H$37)+SUMIF(Eingabe!J$23:J$37,A27,Eingabe!O$23:O$37)</f>
        <v>0</v>
      </c>
      <c r="C27" t="str">
        <f t="shared" si="0"/>
        <v>Ell62</v>
      </c>
      <c r="D27">
        <f t="shared" si="1"/>
        <v>26</v>
      </c>
      <c r="E27">
        <f>SUMIF(Eingabe!C$23:C$37,D27,Eingabe!H$23:H$37)+SUMIF(Eingabe!J$23:J$37,D27,Eingabe!O$23:O$37)</f>
        <v>2</v>
      </c>
    </row>
    <row r="28" spans="1:5" ht="12.75">
      <c r="A28">
        <v>63</v>
      </c>
      <c r="B28">
        <f>SUMIF(Eingabe!C$23:C$37,A28,Eingabe!H$23:H$37)+SUMIF(Eingabe!J$23:J$37,A28,Eingabe!O$23:O$37)</f>
        <v>0</v>
      </c>
      <c r="C28" t="str">
        <f t="shared" si="0"/>
        <v>Ell63</v>
      </c>
      <c r="D28">
        <f t="shared" si="1"/>
        <v>36</v>
      </c>
      <c r="E28">
        <f>SUMIF(Eingabe!C$23:C$37,D28,Eingabe!H$23:H$37)+SUMIF(Eingabe!J$23:J$37,D28,Eingabe!O$23:O$37)</f>
        <v>2</v>
      </c>
    </row>
    <row r="29" spans="1:5" ht="12.75">
      <c r="A29">
        <v>64</v>
      </c>
      <c r="B29">
        <f>SUMIF(Eingabe!C$23:C$37,A29,Eingabe!H$23:H$37)+SUMIF(Eingabe!J$23:J$37,A29,Eingabe!O$23:O$37)</f>
        <v>0</v>
      </c>
      <c r="C29" t="str">
        <f t="shared" si="0"/>
        <v>Ell64</v>
      </c>
      <c r="D29">
        <f t="shared" si="1"/>
        <v>46</v>
      </c>
      <c r="E29">
        <f>SUMIF(Eingabe!C$23:C$37,D29,Eingabe!H$23:H$37)+SUMIF(Eingabe!J$23:J$37,D29,Eingabe!O$23:O$37)</f>
        <v>2</v>
      </c>
    </row>
    <row r="30" spans="1:5" ht="12.75">
      <c r="A30">
        <v>65</v>
      </c>
      <c r="B30">
        <f>SUMIF(Eingabe!C$23:C$37,A30,Eingabe!H$23:H$37)+SUMIF(Eingabe!J$23:J$37,A30,Eingabe!O$23:O$37)</f>
        <v>0</v>
      </c>
      <c r="C30" t="str">
        <f t="shared" si="0"/>
        <v>Ell65</v>
      </c>
      <c r="D30">
        <f t="shared" si="1"/>
        <v>56</v>
      </c>
      <c r="E30">
        <f>SUMIF(Eingabe!C$23:C$37,D30,Eingabe!H$23:H$37)+SUMIF(Eingabe!J$23:J$37,D30,Eingabe!O$23:O$37)</f>
        <v>2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BSV Velbert</cp:lastModifiedBy>
  <cp:lastPrinted>2015-09-03T14:21:41Z</cp:lastPrinted>
  <dcterms:created xsi:type="dcterms:W3CDTF">2002-06-12T09:57:26Z</dcterms:created>
  <dcterms:modified xsi:type="dcterms:W3CDTF">2015-09-04T18:35:52Z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-1364860300</vt:i4>
  </property>
  <property fmtid="{D5CDD505-2E9C-101B-9397-08002B2CF9AE}" pid="3" name="_EmailSubject">
    <vt:lpwstr>Ergebnisse / Tabellen / Formulare</vt:lpwstr>
  </property>
  <property fmtid="{D5CDD505-2E9C-101B-9397-08002B2CF9AE}" pid="4" name="_AuthorEmail">
    <vt:lpwstr>manfred.fr@t-online.de</vt:lpwstr>
  </property>
  <property fmtid="{D5CDD505-2E9C-101B-9397-08002B2CF9AE}" pid="5" name="_AuthorEmailDisplayName">
    <vt:lpwstr>Manfred Franke</vt:lpwstr>
  </property>
  <property fmtid="{D5CDD505-2E9C-101B-9397-08002B2CF9AE}" pid="6" name="_ReviewingToolsShownOnce">
    <vt:lpwstr/>
  </property>
</Properties>
</file>